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DOCS\lakossagi_uzletag\Nyomtatvanyok\Hitelezes\Jelzaloghitelek\Kozos\"/>
    </mc:Choice>
  </mc:AlternateContent>
  <xr:revisionPtr revIDLastSave="0" documentId="13_ncr:1_{EDC48AEF-6F14-4ABF-B993-27A12D54524E}" xr6:coauthVersionLast="46" xr6:coauthVersionMax="46" xr10:uidLastSave="{00000000-0000-0000-0000-000000000000}"/>
  <workbookProtection workbookAlgorithmName="SHA-512" workbookHashValue="1SN1Pkp+RF7UJb1yFyaYqg2ceqHpwNfM+D7Pj36tPl4tV03XVr1puxQUD5iVC3xgUdbuj9T4pC655xpDQCWogg==" workbookSaltValue="UpfznTuxk6LSxJ0cDdtEWg==" workbookSpinCount="100000" lockStructure="1"/>
  <bookViews>
    <workbookView xWindow="-108" yWindow="-108" windowWidth="23256" windowHeight="12576" firstSheet="1" activeTab="1" xr2:uid="{00000000-000D-0000-FFFF-FFFF00000000}"/>
  </bookViews>
  <sheets>
    <sheet name="Import" sheetId="1" state="hidden" r:id="rId1"/>
    <sheet name="Építés-bővítés" sheetId="2" r:id="rId2"/>
    <sheet name="Költségvetés részarányok" sheetId="3" state="hidden" r:id="rId3"/>
    <sheet name="Dokumentum ellenőrzés" sheetId="7" r:id="rId4"/>
    <sheet name="Kitöltési segédlet" sheetId="5" r:id="rId5"/>
  </sheets>
  <externalReferences>
    <externalReference r:id="rId6"/>
    <externalReference r:id="rId7"/>
  </externalReferences>
  <definedNames>
    <definedName name="_xlnm._FilterDatabase" localSheetId="2" hidden="1">'Költségvetés részarányok'!$A$1:$L$81</definedName>
    <definedName name="ajto" localSheetId="3">[1]Adatlap!$Y$208</definedName>
    <definedName name="ajto">[2]Adatlap!$Y$208</definedName>
    <definedName name="emelet" localSheetId="3">[1]Adatlap!$W$208</definedName>
    <definedName name="emelet">[2]Adatlap!$W$208</definedName>
    <definedName name="hazszam" localSheetId="3">[1]Adatlap!$S$208</definedName>
    <definedName name="hazszam">[2]Adatlap!$S$208</definedName>
    <definedName name="iranyitoszam" localSheetId="3">[1]Adatlap!$F$206</definedName>
    <definedName name="iranyitoszam">[2]Adatlap!$F$206</definedName>
    <definedName name="_xlnm.Print_Area" localSheetId="3">'Dokumentum ellenőrzés'!$A$1:$I$33</definedName>
    <definedName name="_xlnm.Print_Area" localSheetId="1">'Építés-bővítés'!$A$1:$Z$33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3" l="1"/>
  <c r="E81" i="3"/>
  <c r="C81" i="3"/>
  <c r="F80" i="3"/>
  <c r="E80" i="3"/>
  <c r="C80" i="3"/>
  <c r="F79" i="3"/>
  <c r="E79" i="3"/>
  <c r="C79" i="3"/>
  <c r="F78" i="3"/>
  <c r="E78" i="3"/>
  <c r="C78" i="3"/>
  <c r="F77" i="3"/>
  <c r="E77" i="3"/>
  <c r="C77" i="3"/>
  <c r="F76" i="3"/>
  <c r="E76" i="3"/>
  <c r="C76" i="3"/>
  <c r="F75" i="3"/>
  <c r="E75" i="3"/>
  <c r="C75" i="3"/>
  <c r="F74" i="3"/>
  <c r="E74" i="3"/>
  <c r="C74" i="3"/>
  <c r="F73" i="3"/>
  <c r="E73" i="3"/>
  <c r="C73" i="3"/>
  <c r="F72" i="3"/>
  <c r="E72" i="3"/>
  <c r="C72" i="3"/>
  <c r="F71" i="3"/>
  <c r="E71" i="3"/>
  <c r="C71" i="3"/>
  <c r="F70" i="3"/>
  <c r="E70" i="3"/>
  <c r="C70" i="3"/>
  <c r="F69" i="3"/>
  <c r="E69" i="3"/>
  <c r="C69" i="3"/>
  <c r="F68" i="3"/>
  <c r="E68" i="3"/>
  <c r="C68" i="3"/>
  <c r="F67" i="3"/>
  <c r="E67" i="3"/>
  <c r="C67" i="3"/>
  <c r="F66" i="3"/>
  <c r="E66" i="3"/>
  <c r="C66" i="3"/>
  <c r="F65" i="3"/>
  <c r="E65" i="3"/>
  <c r="C65" i="3"/>
  <c r="F64" i="3"/>
  <c r="E64" i="3"/>
  <c r="C64" i="3"/>
  <c r="F63" i="3"/>
  <c r="E63" i="3"/>
  <c r="C63" i="3"/>
  <c r="F62" i="3"/>
  <c r="E62" i="3"/>
  <c r="C62" i="3"/>
  <c r="F61" i="3"/>
  <c r="E61" i="3"/>
  <c r="C61" i="3"/>
  <c r="F60" i="3"/>
  <c r="E60" i="3"/>
  <c r="C60" i="3"/>
  <c r="F59" i="3"/>
  <c r="E59" i="3"/>
  <c r="C59" i="3"/>
  <c r="F58" i="3"/>
  <c r="E58" i="3"/>
  <c r="C58" i="3"/>
  <c r="F57" i="3"/>
  <c r="E57" i="3"/>
  <c r="C57" i="3"/>
  <c r="F56" i="3"/>
  <c r="E56" i="3"/>
  <c r="C56" i="3"/>
  <c r="F55" i="3"/>
  <c r="E55" i="3"/>
  <c r="C55" i="3"/>
  <c r="F54" i="3"/>
  <c r="E54" i="3"/>
  <c r="C54" i="3"/>
  <c r="F53" i="3"/>
  <c r="E53" i="3"/>
  <c r="C53" i="3"/>
  <c r="F52" i="3"/>
  <c r="E52" i="3"/>
  <c r="C52" i="3"/>
  <c r="F51" i="3"/>
  <c r="E51" i="3"/>
  <c r="C51" i="3"/>
  <c r="F50" i="3"/>
  <c r="E50" i="3"/>
  <c r="C50" i="3"/>
  <c r="F49" i="3"/>
  <c r="E49" i="3"/>
  <c r="C49" i="3"/>
  <c r="F48" i="3"/>
  <c r="E48" i="3"/>
  <c r="C48" i="3"/>
  <c r="F47" i="3"/>
  <c r="E47" i="3"/>
  <c r="C47" i="3"/>
  <c r="F46" i="3"/>
  <c r="E46" i="3"/>
  <c r="C46" i="3"/>
  <c r="F45" i="3"/>
  <c r="E45" i="3"/>
  <c r="C45" i="3"/>
  <c r="F44" i="3"/>
  <c r="E44" i="3"/>
  <c r="C44" i="3"/>
  <c r="F43" i="3"/>
  <c r="E43" i="3"/>
  <c r="C43" i="3"/>
  <c r="F42" i="3"/>
  <c r="E42" i="3"/>
  <c r="C42" i="3"/>
  <c r="F41" i="3"/>
  <c r="E41" i="3"/>
  <c r="C41" i="3"/>
  <c r="F40" i="3"/>
  <c r="E40" i="3"/>
  <c r="C40" i="3"/>
  <c r="F39" i="3"/>
  <c r="E39" i="3"/>
  <c r="C39" i="3"/>
  <c r="F38" i="3"/>
  <c r="E38" i="3"/>
  <c r="C38" i="3"/>
  <c r="F37" i="3"/>
  <c r="E37" i="3"/>
  <c r="C37" i="3"/>
  <c r="F36" i="3"/>
  <c r="E36" i="3"/>
  <c r="C36" i="3"/>
  <c r="F35" i="3"/>
  <c r="E35" i="3"/>
  <c r="C35" i="3"/>
  <c r="F34" i="3"/>
  <c r="E34" i="3"/>
  <c r="C34" i="3"/>
  <c r="F33" i="3"/>
  <c r="E33" i="3"/>
  <c r="C33" i="3"/>
  <c r="F32" i="3"/>
  <c r="E32" i="3"/>
  <c r="C32" i="3"/>
  <c r="F31" i="3"/>
  <c r="E31" i="3"/>
  <c r="C31" i="3"/>
  <c r="F30" i="3"/>
  <c r="E30" i="3"/>
  <c r="C30" i="3"/>
  <c r="F29" i="3"/>
  <c r="E29" i="3"/>
  <c r="C29" i="3"/>
  <c r="F28" i="3"/>
  <c r="E28" i="3"/>
  <c r="C28" i="3"/>
  <c r="F27" i="3"/>
  <c r="E27" i="3"/>
  <c r="C27" i="3"/>
  <c r="F26" i="3"/>
  <c r="E26" i="3"/>
  <c r="C26" i="3"/>
  <c r="F25" i="3"/>
  <c r="E25" i="3"/>
  <c r="C25" i="3"/>
  <c r="F24" i="3"/>
  <c r="E24" i="3"/>
  <c r="C24" i="3"/>
  <c r="F23" i="3"/>
  <c r="E23" i="3"/>
  <c r="C23" i="3"/>
  <c r="F22" i="3"/>
  <c r="E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7" i="3"/>
  <c r="E17" i="3"/>
  <c r="C17" i="3"/>
  <c r="F16" i="3"/>
  <c r="E16" i="3"/>
  <c r="C16" i="3"/>
  <c r="F15" i="3"/>
  <c r="E15" i="3"/>
  <c r="C15" i="3"/>
  <c r="F14" i="3"/>
  <c r="E14" i="3"/>
  <c r="C14" i="3"/>
  <c r="F13" i="3"/>
  <c r="E13" i="3"/>
  <c r="C13" i="3"/>
  <c r="F12" i="3"/>
  <c r="E12" i="3"/>
  <c r="C12" i="3"/>
  <c r="F11" i="3"/>
  <c r="E11" i="3"/>
  <c r="C11" i="3"/>
  <c r="F10" i="3"/>
  <c r="E10" i="3"/>
  <c r="C10" i="3"/>
  <c r="F9" i="3"/>
  <c r="E9" i="3"/>
  <c r="C9" i="3"/>
  <c r="F8" i="3"/>
  <c r="E8" i="3"/>
  <c r="C8" i="3"/>
  <c r="F7" i="3"/>
  <c r="E7" i="3"/>
  <c r="C7" i="3"/>
  <c r="F6" i="3"/>
  <c r="E6" i="3"/>
  <c r="C6" i="3"/>
  <c r="F5" i="3"/>
  <c r="E5" i="3"/>
  <c r="C5" i="3"/>
  <c r="F4" i="3"/>
  <c r="E4" i="3"/>
  <c r="C4" i="3"/>
  <c r="F3" i="3"/>
  <c r="E3" i="3"/>
  <c r="C3" i="3"/>
  <c r="F2" i="3"/>
  <c r="E2" i="3"/>
  <c r="C2" i="3"/>
  <c r="P33" i="7" l="1"/>
  <c r="C32" i="7"/>
  <c r="B32" i="7" s="1"/>
  <c r="C31" i="7"/>
  <c r="Q31" i="7" s="1"/>
  <c r="C30" i="7"/>
  <c r="Q30" i="7" s="1"/>
  <c r="C29" i="7"/>
  <c r="Q29" i="7" s="1"/>
  <c r="C24" i="7"/>
  <c r="Q24" i="7" s="1"/>
  <c r="C12" i="7"/>
  <c r="Q12" i="7" s="1"/>
  <c r="Q11" i="7"/>
  <c r="N11" i="7"/>
  <c r="Q10" i="7"/>
  <c r="N10" i="7"/>
  <c r="O6" i="7"/>
  <c r="Q6" i="7" s="1"/>
  <c r="C7" i="7" s="1"/>
  <c r="N5" i="7"/>
  <c r="K5" i="7"/>
  <c r="L5" i="7" s="1"/>
  <c r="L6" i="7" s="1"/>
  <c r="N4" i="7"/>
  <c r="N3" i="7"/>
  <c r="N31" i="7" l="1"/>
  <c r="L4" i="7"/>
  <c r="C23" i="7" s="1"/>
  <c r="N23" i="7" s="1"/>
  <c r="O5" i="7"/>
  <c r="O4" i="7" s="1"/>
  <c r="C13" i="7"/>
  <c r="Q13" i="7" s="1"/>
  <c r="N24" i="7"/>
  <c r="N32" i="7"/>
  <c r="C17" i="7"/>
  <c r="Q17" i="7" s="1"/>
  <c r="Q32" i="7"/>
  <c r="Q23" i="7"/>
  <c r="C27" i="7"/>
  <c r="C28" i="7"/>
  <c r="C26" i="7"/>
  <c r="C16" i="7"/>
  <c r="B20" i="7"/>
  <c r="C21" i="7"/>
  <c r="C25" i="7"/>
  <c r="N30" i="7"/>
  <c r="N12" i="7"/>
  <c r="C15" i="7"/>
  <c r="C19" i="7"/>
  <c r="C20" i="7"/>
  <c r="N29" i="7"/>
  <c r="O7" i="7"/>
  <c r="B7" i="7" s="1"/>
  <c r="C14" i="7"/>
  <c r="C18" i="7"/>
  <c r="F32" i="2"/>
  <c r="N13" i="7" l="1"/>
  <c r="C22" i="7"/>
  <c r="Q22" i="7" s="1"/>
  <c r="Q7" i="7"/>
  <c r="N17" i="7"/>
  <c r="N19" i="7"/>
  <c r="Q19" i="7"/>
  <c r="Q25" i="7"/>
  <c r="N25" i="7"/>
  <c r="N28" i="7"/>
  <c r="Q28" i="7"/>
  <c r="N15" i="7"/>
  <c r="Q15" i="7"/>
  <c r="Q16" i="7"/>
  <c r="N16" i="7"/>
  <c r="Q27" i="7"/>
  <c r="N27" i="7"/>
  <c r="N18" i="7"/>
  <c r="Q18" i="7"/>
  <c r="N20" i="7"/>
  <c r="Q20" i="7"/>
  <c r="Q26" i="7"/>
  <c r="N26" i="7"/>
  <c r="Q14" i="7"/>
  <c r="N14" i="7"/>
  <c r="Q21" i="7"/>
  <c r="N21" i="7"/>
  <c r="J10" i="2"/>
  <c r="K10" i="2" s="1"/>
  <c r="N22" i="7" l="1"/>
  <c r="N33" i="7"/>
  <c r="O33" i="7" s="1"/>
  <c r="Q33" i="7"/>
  <c r="R33" i="7" s="1"/>
  <c r="H30" i="2"/>
  <c r="G29" i="2"/>
  <c r="I29" i="2"/>
  <c r="C19" i="1" s="1"/>
  <c r="E24" i="2"/>
  <c r="K6" i="3"/>
  <c r="K5" i="3"/>
  <c r="K4" i="3"/>
  <c r="K3" i="3"/>
  <c r="K2" i="3"/>
  <c r="F33" i="7" l="1"/>
  <c r="B2" i="7" s="1"/>
  <c r="F28" i="2"/>
  <c r="G28" i="2" s="1"/>
  <c r="I28" i="2" s="1"/>
  <c r="J28" i="2" s="1"/>
  <c r="E19" i="2"/>
  <c r="M28" i="2"/>
  <c r="K9" i="2"/>
  <c r="G9" i="2"/>
  <c r="D19" i="2"/>
  <c r="E22" i="2"/>
  <c r="N26" i="2"/>
  <c r="M16" i="2"/>
  <c r="D21" i="2"/>
  <c r="E26" i="2"/>
  <c r="N25" i="2"/>
  <c r="F23" i="2"/>
  <c r="G23" i="2" s="1"/>
  <c r="I23" i="2" s="1"/>
  <c r="J23" i="2" s="1"/>
  <c r="E21" i="2"/>
  <c r="F27" i="2"/>
  <c r="G27" i="2" s="1"/>
  <c r="I27" i="2" s="1"/>
  <c r="J27" i="2" s="1"/>
  <c r="M24" i="2"/>
  <c r="D24" i="2"/>
  <c r="N14" i="2"/>
  <c r="F18" i="2"/>
  <c r="G18" i="2" s="1"/>
  <c r="I18" i="2" s="1"/>
  <c r="J18" i="2" s="1"/>
  <c r="M17" i="2"/>
  <c r="N22" i="2"/>
  <c r="F24" i="2"/>
  <c r="G24" i="2" s="1"/>
  <c r="I24" i="2" s="1"/>
  <c r="C14" i="1" s="1"/>
  <c r="M25" i="2"/>
  <c r="N23" i="2"/>
  <c r="F25" i="2"/>
  <c r="G25" i="2" s="1"/>
  <c r="I25" i="2" s="1"/>
  <c r="C15" i="1" s="1"/>
  <c r="M21" i="2"/>
  <c r="N19" i="2"/>
  <c r="E18" i="2"/>
  <c r="D17" i="2"/>
  <c r="E17" i="2"/>
  <c r="D20" i="2"/>
  <c r="E20" i="2"/>
  <c r="E14" i="2"/>
  <c r="D15" i="2"/>
  <c r="E15" i="2"/>
  <c r="F13" i="2"/>
  <c r="G13" i="2" s="1"/>
  <c r="I13" i="2" s="1"/>
  <c r="C3" i="1" s="1"/>
  <c r="F15" i="2"/>
  <c r="G15" i="2" s="1"/>
  <c r="I15" i="2" s="1"/>
  <c r="C5" i="1" s="1"/>
  <c r="N16" i="2"/>
  <c r="N18" i="2"/>
  <c r="M13" i="2"/>
  <c r="M18" i="2"/>
  <c r="F21" i="2"/>
  <c r="G21" i="2" s="1"/>
  <c r="I21" i="2" s="1"/>
  <c r="C11" i="1" s="1"/>
  <c r="M22" i="2"/>
  <c r="N20" i="2"/>
  <c r="F22" i="2"/>
  <c r="G22" i="2" s="1"/>
  <c r="I22" i="2" s="1"/>
  <c r="J22" i="2" s="1"/>
  <c r="M23" i="2"/>
  <c r="N27" i="2"/>
  <c r="D22" i="2"/>
  <c r="D13" i="2"/>
  <c r="E13" i="2"/>
  <c r="D26" i="2"/>
  <c r="D16" i="2"/>
  <c r="E16" i="2"/>
  <c r="D27" i="2"/>
  <c r="E27" i="2"/>
  <c r="M27" i="2"/>
  <c r="N13" i="2"/>
  <c r="M15" i="2"/>
  <c r="F17" i="2"/>
  <c r="G17" i="2" s="1"/>
  <c r="I17" i="2" s="1"/>
  <c r="C7" i="1" s="1"/>
  <c r="F20" i="2"/>
  <c r="G20" i="2" s="1"/>
  <c r="I20" i="2" s="1"/>
  <c r="C10" i="1" s="1"/>
  <c r="M14" i="2"/>
  <c r="F16" i="2"/>
  <c r="G16" i="2" s="1"/>
  <c r="I16" i="2" s="1"/>
  <c r="J16" i="2" s="1"/>
  <c r="M19" i="2"/>
  <c r="N28" i="2"/>
  <c r="F19" i="2"/>
  <c r="G19" i="2" s="1"/>
  <c r="I19" i="2" s="1"/>
  <c r="C9" i="1" s="1"/>
  <c r="M20" i="2"/>
  <c r="N24" i="2"/>
  <c r="F26" i="2"/>
  <c r="G26" i="2" s="1"/>
  <c r="I26" i="2" s="1"/>
  <c r="J26" i="2" s="1"/>
  <c r="D14" i="2"/>
  <c r="D25" i="2"/>
  <c r="E25" i="2"/>
  <c r="D28" i="2"/>
  <c r="E28" i="2"/>
  <c r="D18" i="2"/>
  <c r="D23" i="2"/>
  <c r="E23" i="2"/>
  <c r="M26" i="2"/>
  <c r="F14" i="2"/>
  <c r="G14" i="2" s="1"/>
  <c r="I14" i="2" s="1"/>
  <c r="J14" i="2" s="1"/>
  <c r="N15" i="2"/>
  <c r="N17" i="2"/>
  <c r="N21" i="2"/>
  <c r="J29" i="2"/>
  <c r="K29" i="2" s="1"/>
  <c r="O29" i="2" s="1"/>
  <c r="C18" i="1" l="1"/>
  <c r="K26" i="2"/>
  <c r="O26" i="2" s="1"/>
  <c r="K28" i="2"/>
  <c r="O28" i="2" s="1"/>
  <c r="K22" i="2"/>
  <c r="O22" i="2" s="1"/>
  <c r="J24" i="2"/>
  <c r="K24" i="2" s="1"/>
  <c r="O24" i="2" s="1"/>
  <c r="J21" i="2"/>
  <c r="K21" i="2" s="1"/>
  <c r="O21" i="2" s="1"/>
  <c r="K16" i="2"/>
  <c r="O16" i="2" s="1"/>
  <c r="C16" i="1"/>
  <c r="J20" i="2"/>
  <c r="K20" i="2" s="1"/>
  <c r="O20" i="2" s="1"/>
  <c r="C12" i="1"/>
  <c r="J25" i="2"/>
  <c r="K25" i="2" s="1"/>
  <c r="O25" i="2" s="1"/>
  <c r="C13" i="1"/>
  <c r="J15" i="2"/>
  <c r="K15" i="2" s="1"/>
  <c r="O15" i="2" s="1"/>
  <c r="J19" i="2"/>
  <c r="K19" i="2" s="1"/>
  <c r="O19" i="2" s="1"/>
  <c r="K23" i="2"/>
  <c r="O23" i="2" s="1"/>
  <c r="K14" i="2"/>
  <c r="O14" i="2" s="1"/>
  <c r="K18" i="2"/>
  <c r="O18" i="2" s="1"/>
  <c r="C17" i="1"/>
  <c r="C8" i="1"/>
  <c r="K27" i="2"/>
  <c r="O27" i="2" s="1"/>
  <c r="J13" i="2"/>
  <c r="K13" i="2" s="1"/>
  <c r="O13" i="2" s="1"/>
  <c r="J17" i="2"/>
  <c r="K17" i="2" s="1"/>
  <c r="O17" i="2" s="1"/>
  <c r="F30" i="2"/>
  <c r="C6" i="1"/>
  <c r="C4" i="1"/>
  <c r="O30" i="2" l="1"/>
  <c r="O31" i="2" s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7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Nem könnyűszerkezet = hagyományos elemes szerkezet
Könnyűszerkezetes = fa/fémvázas ingatlan, gyors házak</t>
        </r>
      </text>
    </comment>
    <comment ref="C8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Itt azt az épületrészt kell figyelembe venni, amit az ügyfél épít. Ha csak tetőtér beépítésről van szó, akkor azt kell kiválasztani. Ha a munkálatok érintik valamelyik másik szintet is, akkor az ennek megfelelőt válasszák!</t>
        </r>
      </text>
    </comment>
    <comment ref="C10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Nettó terület: belső padlósíkon mért teljes alapterület szintenként összeadva.
Lakóterület és egyéb lakóterülethez kapocsolódó zárt területeket 100% ban kell figyelembe venni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3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irsz, település, utcanév, házszám, emelet ajtó:
Pl: 1138 Budapest, Népfürdő utca 24-26.</t>
        </r>
      </text>
    </comment>
    <comment ref="H6" authorId="1" shapeId="0" xr:uid="{00000000-0006-0000-0300-000002000000}">
      <text>
        <r>
          <rPr>
            <sz val="12"/>
            <color indexed="81"/>
            <rFont val="Tahoma"/>
            <family val="2"/>
            <charset val="238"/>
          </rPr>
          <t xml:space="preserve">A vizsgálat alapja:
• egy lakóegység egy telken= egylakásos
• több lakóegység egy telken:
    - ikerház vagy sorház, amelynél minden lakás önálló tető- és épületszerkezettel, valamint a terepszintről közvetlen bejárattal rendelkezik = egy lakásos
    - ha elbukik  az önálló tető- és épületszerkezettel, valamint a terepszintről közvetlen bejárattal rendelkezik paraméter közül bármelyik = több lakásos
</t>
        </r>
        <r>
          <rPr>
            <b/>
            <sz val="12"/>
            <color indexed="81"/>
            <rFont val="Tahoma"/>
            <family val="2"/>
            <charset val="238"/>
          </rPr>
          <t>Több ingatlanegység esetén ha bármely épületszerkezet közös, akkor többlakásos az épület. Ingatlan-nyilvántartástól függetlenül kezelve!</t>
        </r>
        <r>
          <rPr>
            <sz val="12"/>
            <color indexed="81"/>
            <rFont val="Tahoma"/>
            <family val="2"/>
            <charset val="238"/>
          </rPr>
          <t xml:space="preserve">
 </t>
        </r>
      </text>
    </comment>
    <comment ref="F9" authorId="0" shapeId="0" xr:uid="{00000000-0006-0000-0300-000003000000}">
      <text>
        <r>
          <rPr>
            <sz val="10"/>
            <color indexed="81"/>
            <rFont val="Segoe UI"/>
            <family val="2"/>
            <charset val="238"/>
          </rPr>
          <t>TANÁCSADÓ TÖLTI KI:
- Fióki tanácsadó melléklet ellenőrzése
- Minden kötelezőnek jelölt dokumentumot csatolni kell az EBR-be.
- A kitöltöttségnek szinkronban kell lennie az EBR mellékleteivel.
- Kötelezőnek jelölt de EBR-be nem csatolt dokumentum hiánypótlást von maga után (nem készülhet el szakértés)
SZAKÉRTŐ FELADAT:
- EBR-be csatolás ellenőrzése
- Kötelező dokumentum hiány esetén Akadályközlés rögzíthető
- Csak teljes dokumentumkörrel készülthet szakvélemény
- Tévesen jelölt mezőket a valóságnak megfelelő állapotra állítsa át</t>
        </r>
        <r>
          <rPr>
            <sz val="11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9" authorId="0" shapeId="0" xr:uid="{00000000-0006-0000-0300-000004000000}">
      <text>
        <r>
          <rPr>
            <sz val="9"/>
            <color indexed="81"/>
            <rFont val="Segoe UI"/>
            <family val="2"/>
            <charset val="238"/>
          </rPr>
          <t xml:space="preserve">SZAKÉRTŐ FELADAT:
- Kötelező dokumentum hiány esetén akadályközlés rögzíthető
- Hiányzó dokumentumot pótolva töltse fel a mellékletek közé
- Csak teljes dokumentumkörrel készülthet szakvélemény
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<sst xmlns="http://schemas.openxmlformats.org/spreadsheetml/2006/main" count="361" uniqueCount="170">
  <si>
    <t>1. Földmunka</t>
  </si>
  <si>
    <t>2. Alapozás</t>
  </si>
  <si>
    <t>3. Falazás és egyéb kőműves munkák</t>
  </si>
  <si>
    <t>4. Födém-, lépcsőszerk., helyszíni beton munkák</t>
  </si>
  <si>
    <t>5. Tetőszerkezet, tetőfedés, bádogozás</t>
  </si>
  <si>
    <t>6. Homlokzatképzés, hőszigetelés</t>
  </si>
  <si>
    <t>7. Belső vakolás</t>
  </si>
  <si>
    <t>8. Aljzatbeton, vízszigetelés, úsztatórtg.</t>
  </si>
  <si>
    <t>9. Burkolás (hideg-, melegburkolatok)</t>
  </si>
  <si>
    <t>10. Külső nyílászárók, kapuk</t>
  </si>
  <si>
    <t>11. Belső nyílászárók, asztalos szerk.-ek</t>
  </si>
  <si>
    <t>12. Festés - mázolás - tapétázás</t>
  </si>
  <si>
    <t>13. Belső víz- és csatornaszerelés, szaniterek</t>
  </si>
  <si>
    <t>14. Gáz- illetve egyéb fűtés szerelés</t>
  </si>
  <si>
    <t>15. Belső villanyszerelés, szerelvényezés</t>
  </si>
  <si>
    <t>16. Külső építmények, közműcsatlakozás</t>
  </si>
  <si>
    <t>17. Egyéb munkanem (pl. egyéb gépészet)</t>
  </si>
  <si>
    <t>Összesen</t>
  </si>
  <si>
    <t>Tétel költsége Ft</t>
  </si>
  <si>
    <t>Szakágak</t>
  </si>
  <si>
    <t>constructionWorkType</t>
  </si>
  <si>
    <t>workTotalCostBCCY</t>
  </si>
  <si>
    <t>Szakágak technikai azonosítója</t>
  </si>
  <si>
    <t>Earthworks</t>
  </si>
  <si>
    <t>Foundation</t>
  </si>
  <si>
    <t>OtherWork</t>
  </si>
  <si>
    <t>ExternalConstructionsPublicUtilityConnection</t>
  </si>
  <si>
    <t>MasonryAndOtherMasonryWorks</t>
  </si>
  <si>
    <t>CeilingStaircasesOnSiteConcreteWorks</t>
  </si>
  <si>
    <t>RoofingTinning</t>
  </si>
  <si>
    <t>FacadeBuildingThermalInsulation</t>
  </si>
  <si>
    <t>InternalPlastering</t>
  </si>
  <si>
    <t>ConcreteWaterproofing</t>
  </si>
  <si>
    <t>HotAndColdCovering</t>
  </si>
  <si>
    <t>ExteriorDoorsGates</t>
  </si>
  <si>
    <t>InteriorDoorsAndWindowsJoineryItems</t>
  </si>
  <si>
    <t>PaintingAndWallpapering</t>
  </si>
  <si>
    <t>InternalWaterAndSewerageSanitaryWare</t>
  </si>
  <si>
    <t>GasOrOtherHeatingInstallation</t>
  </si>
  <si>
    <t>InternalElectricalInstallationAndAssembly</t>
  </si>
  <si>
    <t>Ingatlan címe:</t>
  </si>
  <si>
    <t>Ingatlan hrsz:</t>
  </si>
  <si>
    <t>Kivitelezett épület(rész) tagolása:</t>
  </si>
  <si>
    <t>Költségvetés</t>
  </si>
  <si>
    <t>Munkanemek és munkafolyamatok  megnevezése</t>
  </si>
  <si>
    <t>Minimum részarány %</t>
  </si>
  <si>
    <t>Maximum részarány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</si>
  <si>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</si>
  <si>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</si>
  <si>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</si>
  <si>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</si>
  <si>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</si>
  <si>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</si>
  <si>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</si>
  <si>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</si>
  <si>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</si>
  <si>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</si>
  <si>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</si>
  <si>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</si>
  <si>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</si>
  <si>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</si>
  <si>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</si>
  <si>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</si>
  <si>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</si>
  <si>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TIP</t>
  </si>
  <si>
    <t>SORSZ</t>
  </si>
  <si>
    <t>KÓD</t>
  </si>
  <si>
    <t>KSZ</t>
  </si>
  <si>
    <t>MIN</t>
  </si>
  <si>
    <t>MAX</t>
  </si>
  <si>
    <t>Tagolás lista</t>
  </si>
  <si>
    <t>Földmunka</t>
  </si>
  <si>
    <t>Síkalapozás</t>
  </si>
  <si>
    <t>Falazás és egyéb kőműves munkák</t>
  </si>
  <si>
    <t>Födém-, lépcsőszerk., helyszíni beton munkák</t>
  </si>
  <si>
    <t>Tetőszerkezet, tetőfedés, bádogozás</t>
  </si>
  <si>
    <t>Homlokzatképzés, hőszigetelés</t>
  </si>
  <si>
    <t>Belső vakolás</t>
  </si>
  <si>
    <t>Aljzatbeton, vízszigetelés, úsztatórtg.</t>
  </si>
  <si>
    <t>Burkolás (hideg-, melegburk..-ok)</t>
  </si>
  <si>
    <t>Külső nyílászárók, kapuk</t>
  </si>
  <si>
    <t>Belső nyílászárók, asztalos szerk.-ek</t>
  </si>
  <si>
    <t>Festés - mázolás - tapétázás</t>
  </si>
  <si>
    <t>Belső víz- és csatornaszerelés, szaniterek</t>
  </si>
  <si>
    <t>Gáz- és központi fűtés szerelés</t>
  </si>
  <si>
    <t>Belső villanyszerelés, szerelvényezés</t>
  </si>
  <si>
    <t>Külső építmények, közműcsatlakozás</t>
  </si>
  <si>
    <t>pinceszint+földszint</t>
  </si>
  <si>
    <t>Bank által javasolt munkanem költsége Ft</t>
  </si>
  <si>
    <t>Bank által javasolt költségvetési részarány %</t>
  </si>
  <si>
    <t>Ügyfél által jóváhagyott költségvetés</t>
  </si>
  <si>
    <t>Ügyfél által jóváhagyott részarány %</t>
  </si>
  <si>
    <t>Banki javaslat nem elfogadása esetén kitöltendő: Ügyfél által munkanem költsége Ft</t>
  </si>
  <si>
    <t>Ügyfél elfogadja a bank által javasolt költségbontást</t>
  </si>
  <si>
    <t>Dokumentum neve</t>
  </si>
  <si>
    <t>Kötelező</t>
  </si>
  <si>
    <t>Becsatolva</t>
  </si>
  <si>
    <t>Alap dokumentum</t>
  </si>
  <si>
    <t>Banki formátumú költségvetés</t>
  </si>
  <si>
    <t>Egyszerű bejelentéshez szükséges dokumentáció</t>
  </si>
  <si>
    <t>Egyéb dokumentum</t>
  </si>
  <si>
    <t>Jogerős építési engedély</t>
  </si>
  <si>
    <t>Tervezői nyilatkozat könnyűszerkezetes épülethez</t>
  </si>
  <si>
    <t>Ügyfél neve:</t>
  </si>
  <si>
    <t>Építési engedélyezési eljárás típusa:</t>
  </si>
  <si>
    <t>Határozat/készenlétbe helyezés dátuma:</t>
  </si>
  <si>
    <t>Épületszerkezet szerint önálló ingatlan?</t>
  </si>
  <si>
    <t>Épületszerkezet:</t>
  </si>
  <si>
    <t>földszintes</t>
  </si>
  <si>
    <t>Munkálat típusa:</t>
  </si>
  <si>
    <t>KÖLTSÉGVETÉSI ADATLAP ÉPÍTÉSI, BŐVÍTÉSI HITELHEZ</t>
  </si>
  <si>
    <t>Ügyfél</t>
  </si>
  <si>
    <t>Tanácsadó</t>
  </si>
  <si>
    <t xml:space="preserve">Dátum:……………….…………….
</t>
  </si>
  <si>
    <t>Szöveges megjegyzés:</t>
  </si>
  <si>
    <t>Az Ügyfél által elfogadott/jóváhagyott költségvetés a mai napon digitális formában átadásra került a Banknak:</t>
  </si>
  <si>
    <t>Épülő új épület (bővítés esetén a növekmény) nettó területe (m2):</t>
  </si>
  <si>
    <t>Új teraszok, erkélyek területe:</t>
  </si>
  <si>
    <t>Ügyfél által megadott bruttó összköltség:</t>
  </si>
  <si>
    <t>Fajlagos építési költség (eFt/nm)</t>
  </si>
  <si>
    <t>tetőtér beépítés / emelet ráépítés</t>
  </si>
  <si>
    <t>pinceszint+földszint+emelet/tetőtér</t>
  </si>
  <si>
    <t>földszint+emelet/tetőtér</t>
  </si>
  <si>
    <t>17. Egyéb munkanem (pl. bontás / tervezés)*</t>
  </si>
  <si>
    <r>
      <t xml:space="preserve">A hitelcélnak megfelelően </t>
    </r>
    <r>
      <rPr>
        <b/>
        <sz val="11"/>
        <color theme="1"/>
        <rFont val="Calibri"/>
        <family val="2"/>
        <charset val="238"/>
        <scheme val="minor"/>
      </rPr>
      <t>minden kék cellát kérjük kitölteni:</t>
    </r>
    <r>
      <rPr>
        <sz val="11"/>
        <color theme="1"/>
        <rFont val="Calibri"/>
        <family val="2"/>
        <charset val="238"/>
        <scheme val="minor"/>
      </rPr>
      <t xml:space="preserve">
1. Építés helyének ingatlan hrsz-a (F4)
2. Építés címe (J4) – irányítószám, település, utca, házszám – pl.: 1138 Budapest, Népfürdő utca 
3. Munkálat típusa: építés vagy bővítés (meglévő épület területnövekedésével járó építési tevékenység) – (F5)
4. Ügyfél neve: Hiteligénylő neve, általánosságban az építtető személye (J5)
5. Építési engedélyezési eljárás típusa(F6): Engedély kötelesség és az engedély formájának kiválasztása
6. Ha engedély köteles a munkálat, akkor Határozat/készenlétbe helyezés dátuma (J6): dátumként felvezetve (ÉÉÉÉ.HH.NN.)
7. Épületszerkezet (F7): könnyűszerkezet (ide értve a gyorsház technológiát) vagy nem könnyűszerkezet 
8. Épületszerkezet szerint önálló ingatlan (J7): - falszerkezet és tetőszerkezet elkülönül, mely szerint lehet:
a. egylakásos ingatlan - egy lakóegység egy telken (ÖNÁLLÓ)
b. egylakásos ingatlan – ikerház/sorház ÖNÁLLÓ épületszerkezettel
c. többlakásos ingatlan egyik egysége – ikerház/sorház KÖZÖS épületszerkezettel
9. Kivitelezett épület(rész) tagolása (F8):
a. földszintes
b. földszint+emelet/tetőtér
c. pinceszint+földszint+emelet/tetőtér
d. pinceszint+földszint
e. tetőtér beépítés / emelet ráépítés
10. Ügyfél által megadott bruttó összköltség (F9): ÁFÁ-val együtt forintban megadva
11. Ügyfél elfogadja a bank által javasolt költségbontást (K8) - banki javasolt szétbontás megfelelősségének elfogadhatóságának kiválasztása:
a. Elfogadás esetén – kitöltés kész – banki költségmegosztási javaslatát az Ügyfél elfogadja
b. Nem elfogadás esetén a részösszeget egyesével kell megadni (kék mezővé válik Nem elfogadás esetén a kitöltendő rész) –H13-H29
i. Megadott részösszegek összesítése összevetésre kerül a (F9-es cellában) megadott bruttó összköltséggel – itt egyenlőségnek kell lenni
ii. Egyéb munkanemnél (H29-es cellába) külön felvezetett munkálatok részletezését a F33-as cellában kell leírni
12. Épülő új épület (bővítés esetén a növekmény) nettó területe (m2) (F10): lakó és ahhoz tartozó egyéb területek (garázs, tároló) teljes értékűen összeadva
13. Új teraszok, erkélyek területe (H10): fedett és fedetlen teraszok, erkélyek területének összege</t>
    </r>
  </si>
  <si>
    <t>Engedélyezési dokumentum ellenőrző lista</t>
  </si>
  <si>
    <t>EELv01</t>
  </si>
  <si>
    <t>Alapadatok - összes színes cella kitöltését követően működik a dokumentum ellenőrzés</t>
  </si>
  <si>
    <t>Építés bejelentésének dátuma</t>
  </si>
  <si>
    <t>Építési engedély száma, ÉTDR sorszáma, E-napló sorszám</t>
  </si>
  <si>
    <t>Épületszerkezet  / építési mód:</t>
  </si>
  <si>
    <t>eng</t>
  </si>
  <si>
    <t>Csatolás</t>
  </si>
  <si>
    <t>EBR-ben</t>
  </si>
  <si>
    <t>EBR melléklet elnevezése</t>
  </si>
  <si>
    <t>Banki nyilatkozat benyújtott dokumentumokról + tervezői és ügyfélnyilatkozat</t>
  </si>
  <si>
    <t>Banki nyilatkozat benyújtott dokumentumokról + tervezői és ügyfélnyilatkozat (ügyfél)</t>
  </si>
  <si>
    <t>aláírólap, tervjegyzékkel</t>
  </si>
  <si>
    <t>helyszínrajz</t>
  </si>
  <si>
    <t>kitűzési helyszínrajz</t>
  </si>
  <si>
    <t>utcakép</t>
  </si>
  <si>
    <t>alaprajz</t>
  </si>
  <si>
    <t>metszetek</t>
  </si>
  <si>
    <t>homlokzatok</t>
  </si>
  <si>
    <t>1 - más neve</t>
  </si>
  <si>
    <t>műszaki berendezések rendszerterve</t>
  </si>
  <si>
    <t>tartószerkezeti tervek, rajzok</t>
  </si>
  <si>
    <t>tervezői (árazatlan) költségvetés</t>
  </si>
  <si>
    <t xml:space="preserve">ÉTDR </t>
  </si>
  <si>
    <t>ÉTDR betekintési kód vagy link</t>
  </si>
  <si>
    <t>ÉTDR dokumentum feltöltés (pl egyszerű bejelentés) visszaigazolása - Ügyféli beadvány kivonata + tájékoztatás megfelelőségről</t>
  </si>
  <si>
    <t>E-napló kivonatok</t>
  </si>
  <si>
    <t>enapló készenlétbe helyezés</t>
  </si>
  <si>
    <t>enapló összesítő</t>
  </si>
  <si>
    <t>főnapló, alnaplók –&gt; 30 napon belüli, megfelelőséget igazoló tervezői művezetést tartalmazó enapló</t>
  </si>
  <si>
    <t>Jogerős építési teljes tervdokumentáció (ép. Eng. Köteles)</t>
  </si>
  <si>
    <t>Hiba-ellenőrzés- Hiba esetén nem rendelhető szakértés</t>
  </si>
  <si>
    <t>Kitöltés dátuma:</t>
  </si>
  <si>
    <r>
      <rPr>
        <b/>
        <sz val="11"/>
        <color theme="1"/>
        <rFont val="Calibri"/>
        <family val="2"/>
        <charset val="238"/>
        <scheme val="minor"/>
      </rPr>
      <t>Ügyfél által jóváhagyott költségvetést Tanácsadó kinyomtatja és Ügyfél aláírásával nyugtázz</t>
    </r>
    <r>
      <rPr>
        <sz val="11"/>
        <color theme="1"/>
        <rFont val="Calibri"/>
        <family val="2"/>
        <charset val="238"/>
        <scheme val="minor"/>
      </rPr>
      <t xml:space="preserve">
Az adatlap formátumán ne változtassanak, ne tegyenek bele képletet, vagy plusz lapot, ne színezzék át, ne töröljenek sor vagy oszlopot!
A kitöltött számlaösszesítő Excel fájl-t kérjük Költségvetés, majd az építés címének megfelelően elnevezni és kötőjellel az Ügyfél nevét is írják hozzá. (pl.: Költségvetés - 1138 Budapest, Népfürdő utca 24-26. - Erste Ügyfél.xlsx) és ezt e-mailben megküldeni a tanácsadónak
</t>
    </r>
    <r>
      <rPr>
        <b/>
        <sz val="11"/>
        <color theme="1"/>
        <rFont val="Calibri"/>
        <family val="2"/>
        <charset val="238"/>
        <scheme val="minor"/>
      </rPr>
      <t>Dokumentum ellenőrzési lapon ellenőrizhető, az engedélyköteles/egyszerű bejelentéses munkálatok dokumentum igénye (3-7 soroknál színesként jelölt cellák kitöltése után), illetve a F oszlopban jelölendő annak megléte és átadása a tanácsadó részére</t>
    </r>
  </si>
  <si>
    <t>Ügyfél által jóváhagyott költségvetés elfogadható az általános építési módoknál alkalmazott arányok szerint?**</t>
  </si>
  <si>
    <t>Ügyfél megnyitotta és vezet is az E-naplót</t>
  </si>
  <si>
    <t>Melléklet megléte</t>
  </si>
  <si>
    <t>11. Belső nyílászárók, fa lépcső, korlát</t>
  </si>
  <si>
    <t>13. Belső víz- és csatornaszerelés cső és szaniterek</t>
  </si>
  <si>
    <t>14. Fűtés és melegvíz ellátás (gáz vagy egyéb mód)</t>
  </si>
  <si>
    <t>15. Villanyszerelés, szerelvényezés, megújuló energia</t>
  </si>
  <si>
    <t>3. Falazás, egyéb kőműves munka, gipszkartonozás</t>
  </si>
  <si>
    <t>verzió: 03 (2022.05.16.-tól)</t>
  </si>
  <si>
    <t>v03</t>
  </si>
  <si>
    <r>
      <t xml:space="preserve">*Egyéb munkanem részletes leírása:
** Ha valamely (K13-K29) részarány az elfogadható határon kívül van, akkor (az alacsony, vagy épp magas arány) </t>
    </r>
    <r>
      <rPr>
        <b/>
        <i/>
        <sz val="10"/>
        <rFont val="Arial"/>
        <family val="2"/>
        <charset val="238"/>
      </rPr>
      <t>indoklása szükséges: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</si>
</sst>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"/>
    <numFmt numFmtId="167" formatCode="#,##0\ &quot;Ft&quot;"/>
    <numFmt numFmtId="168" formatCode="#,##0.00_ ;\-#,##0.00\ "/>
  </numFmts>
  <fonts count="4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1"/>
      <name val="Times New Roman"/>
      <family val="1"/>
    </font>
    <font>
      <sz val="8"/>
      <name val="Times New Roman"/>
      <family val="1"/>
      <charset val="238"/>
    </font>
    <font>
      <b/>
      <sz val="20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9"/>
      <color theme="0"/>
      <name val="Arial"/>
      <family val="2"/>
      <charset val="238"/>
    </font>
    <font>
      <sz val="12"/>
      <name val="Arial"/>
      <family val="2"/>
      <charset val="238"/>
    </font>
    <font>
      <b/>
      <sz val="9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charset val="238"/>
    </font>
    <font>
      <sz val="9"/>
      <color rgb="FFFF0000"/>
      <name val="Times New Roman"/>
      <family val="1"/>
      <charset val="238"/>
    </font>
    <font>
      <sz val="10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sz val="11"/>
      <color rgb="FFFF0000"/>
      <name val="Times New Roman"/>
      <family val="1"/>
      <charset val="238"/>
    </font>
    <font>
      <b/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DE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CE4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</cellStyleXfs>
  <cellXfs count="210">
    <xf numFmtId="0" fontId="0" fillId="0" borderId="0" xfId="0"/>
    <xf numFmtId="0" fontId="0" fillId="0" borderId="0" xfId="0" applyFont="1" applyAlignment="1">
      <alignment horizontal="center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 wrapText="1"/>
    </xf>
    <xf numFmtId="164" fontId="11" fillId="0" borderId="1" xfId="2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2" fillId="2" borderId="1" xfId="0" applyFont="1" applyFill="1" applyBorder="1" applyAlignment="1" applyProtection="1">
      <alignment horizontal="center" vertical="center" wrapText="1"/>
    </xf>
    <xf numFmtId="0" fontId="1" fillId="0" borderId="0" xfId="1"/>
    <xf numFmtId="0" fontId="4" fillId="0" borderId="0" xfId="1" applyFont="1"/>
    <xf numFmtId="0" fontId="4" fillId="0" borderId="0" xfId="1" applyFont="1" applyFill="1" applyBorder="1" applyAlignment="1" applyProtection="1">
      <alignment vertical="top"/>
    </xf>
    <xf numFmtId="2" fontId="4" fillId="0" borderId="0" xfId="1" applyNumberFormat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1" fillId="0" borderId="0" xfId="1" applyAlignment="1">
      <alignment horizontal="center"/>
    </xf>
    <xf numFmtId="49" fontId="4" fillId="0" borderId="4" xfId="1" applyNumberFormat="1" applyFont="1" applyBorder="1" applyAlignment="1">
      <alignment horizontal="center"/>
    </xf>
    <xf numFmtId="49" fontId="4" fillId="0" borderId="0" xfId="1" applyNumberFormat="1" applyFont="1" applyFill="1" applyBorder="1"/>
    <xf numFmtId="165" fontId="4" fillId="0" borderId="1" xfId="3" applyNumberFormat="1" applyFont="1" applyFill="1" applyBorder="1" applyAlignment="1" applyProtection="1">
      <alignment horizontal="center" vertical="center"/>
    </xf>
    <xf numFmtId="165" fontId="4" fillId="0" borderId="3" xfId="3" applyNumberFormat="1" applyFont="1" applyFill="1" applyBorder="1" applyAlignment="1" applyProtection="1">
      <alignment horizontal="center" vertical="center"/>
    </xf>
    <xf numFmtId="165" fontId="7" fillId="0" borderId="1" xfId="3" applyNumberFormat="1" applyFont="1" applyFill="1" applyBorder="1" applyAlignment="1" applyProtection="1">
      <alignment horizontal="center" vertical="center"/>
    </xf>
    <xf numFmtId="165" fontId="7" fillId="0" borderId="3" xfId="3" applyNumberFormat="1" applyFont="1" applyFill="1" applyBorder="1" applyAlignment="1" applyProtection="1">
      <alignment horizontal="center" vertical="center"/>
    </xf>
    <xf numFmtId="166" fontId="4" fillId="6" borderId="0" xfId="4" applyNumberFormat="1" applyFont="1" applyFill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vertical="center" wrapText="1"/>
    </xf>
    <xf numFmtId="0" fontId="1" fillId="0" borderId="0" xfId="1" applyProtection="1"/>
    <xf numFmtId="0" fontId="1" fillId="0" borderId="0" xfId="1" applyBorder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Protection="1"/>
    <xf numFmtId="0" fontId="1" fillId="0" borderId="0" xfId="1" applyBorder="1" applyAlignment="1" applyProtection="1">
      <alignment wrapText="1"/>
    </xf>
    <xf numFmtId="0" fontId="3" fillId="0" borderId="0" xfId="1" applyFont="1" applyFill="1" applyBorder="1" applyAlignment="1" applyProtection="1">
      <alignment vertical="top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/>
    </xf>
    <xf numFmtId="0" fontId="4" fillId="0" borderId="11" xfId="1" applyFont="1" applyBorder="1" applyAlignment="1" applyProtection="1">
      <alignment horizontal="center" vertical="center"/>
    </xf>
    <xf numFmtId="166" fontId="5" fillId="3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Protection="1"/>
    <xf numFmtId="49" fontId="4" fillId="0" borderId="10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wrapText="1"/>
    </xf>
    <xf numFmtId="0" fontId="4" fillId="7" borderId="21" xfId="1" applyFont="1" applyFill="1" applyBorder="1" applyAlignment="1" applyProtection="1">
      <alignment horizontal="center"/>
    </xf>
    <xf numFmtId="0" fontId="4" fillId="7" borderId="15" xfId="1" applyFont="1" applyFill="1" applyBorder="1" applyAlignment="1" applyProtection="1">
      <alignment horizont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/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165" fontId="4" fillId="6" borderId="1" xfId="3" applyNumberFormat="1" applyFont="1" applyFill="1" applyBorder="1" applyAlignment="1" applyProtection="1">
      <alignment horizontal="center" vertical="center"/>
      <protection locked="0"/>
    </xf>
    <xf numFmtId="165" fontId="4" fillId="6" borderId="3" xfId="3" applyNumberFormat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 wrapText="1"/>
    </xf>
    <xf numFmtId="0" fontId="19" fillId="0" borderId="12" xfId="1" applyFont="1" applyBorder="1" applyAlignment="1" applyProtection="1"/>
    <xf numFmtId="167" fontId="4" fillId="0" borderId="22" xfId="1" applyNumberFormat="1" applyFont="1" applyFill="1" applyBorder="1" applyAlignment="1" applyProtection="1">
      <alignment horizontal="center" wrapText="1"/>
    </xf>
    <xf numFmtId="166" fontId="4" fillId="0" borderId="13" xfId="4" applyNumberFormat="1" applyFont="1" applyFill="1" applyBorder="1" applyAlignment="1" applyProtection="1">
      <alignment horizontal="center" wrapText="1"/>
    </xf>
    <xf numFmtId="167" fontId="4" fillId="6" borderId="23" xfId="1" applyNumberFormat="1" applyFont="1" applyFill="1" applyBorder="1" applyAlignment="1" applyProtection="1">
      <alignment horizontal="center"/>
    </xf>
    <xf numFmtId="0" fontId="4" fillId="0" borderId="24" xfId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 applyProtection="1">
      <alignment horizontal="center" vertical="center" wrapText="1"/>
    </xf>
    <xf numFmtId="49" fontId="4" fillId="0" borderId="5" xfId="1" applyNumberFormat="1" applyFont="1" applyFill="1" applyBorder="1" applyAlignment="1" applyProtection="1">
      <alignment horizontal="left" vertical="center"/>
    </xf>
    <xf numFmtId="0" fontId="4" fillId="0" borderId="6" xfId="1" applyFont="1" applyFill="1" applyBorder="1" applyAlignment="1" applyProtection="1">
      <alignment horizontal="center" vertical="center"/>
    </xf>
    <xf numFmtId="165" fontId="4" fillId="0" borderId="6" xfId="3" applyNumberFormat="1" applyFont="1" applyFill="1" applyBorder="1" applyAlignment="1" applyProtection="1">
      <alignment horizontal="center" vertical="center"/>
    </xf>
    <xf numFmtId="165" fontId="4" fillId="6" borderId="6" xfId="3" applyNumberFormat="1" applyFont="1" applyFill="1" applyBorder="1" applyAlignment="1" applyProtection="1">
      <alignment horizontal="center" vertical="center"/>
      <protection locked="0"/>
    </xf>
    <xf numFmtId="165" fontId="7" fillId="0" borderId="6" xfId="3" applyNumberFormat="1" applyFont="1" applyFill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4" fillId="0" borderId="5" xfId="1" applyFont="1" applyFill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 wrapText="1"/>
    </xf>
    <xf numFmtId="0" fontId="3" fillId="4" borderId="9" xfId="1" applyFont="1" applyFill="1" applyBorder="1" applyAlignment="1" applyProtection="1">
      <alignment horizontal="center" vertical="center" wrapText="1"/>
      <protection locked="0"/>
    </xf>
    <xf numFmtId="0" fontId="18" fillId="6" borderId="9" xfId="1" applyFont="1" applyFill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4" fontId="3" fillId="0" borderId="3" xfId="1" applyNumberFormat="1" applyFont="1" applyFill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 wrapText="1"/>
    </xf>
    <xf numFmtId="168" fontId="3" fillId="4" borderId="3" xfId="3" applyNumberFormat="1" applyFont="1" applyFill="1" applyBorder="1" applyAlignment="1" applyProtection="1">
      <alignment horizontal="center" vertical="center"/>
      <protection locked="0"/>
    </xf>
    <xf numFmtId="2" fontId="3" fillId="0" borderId="6" xfId="3" applyNumberFormat="1" applyFont="1" applyFill="1" applyBorder="1" applyAlignment="1" applyProtection="1">
      <alignment horizontal="center" vertical="center"/>
    </xf>
    <xf numFmtId="2" fontId="3" fillId="0" borderId="1" xfId="3" applyNumberFormat="1" applyFont="1" applyFill="1" applyBorder="1" applyAlignment="1" applyProtection="1">
      <alignment horizontal="center" vertical="center"/>
    </xf>
    <xf numFmtId="2" fontId="3" fillId="0" borderId="3" xfId="3" applyNumberFormat="1" applyFont="1" applyFill="1" applyBorder="1" applyAlignment="1" applyProtection="1">
      <alignment horizontal="center" vertical="center"/>
    </xf>
    <xf numFmtId="14" fontId="1" fillId="0" borderId="0" xfId="1" applyNumberFormat="1" applyProtection="1"/>
    <xf numFmtId="0" fontId="0" fillId="0" borderId="0" xfId="0" applyAlignment="1">
      <alignment wrapText="1"/>
    </xf>
    <xf numFmtId="49" fontId="23" fillId="0" borderId="0" xfId="1" applyNumberFormat="1" applyFont="1" applyBorder="1" applyAlignment="1" applyProtection="1">
      <alignment horizontal="right" vertical="center" wrapText="1"/>
    </xf>
    <xf numFmtId="0" fontId="1" fillId="0" borderId="26" xfId="1" applyFont="1" applyFill="1" applyBorder="1" applyAlignment="1" applyProtection="1">
      <alignment horizontal="center" vertical="center" wrapText="1"/>
    </xf>
    <xf numFmtId="0" fontId="24" fillId="0" borderId="0" xfId="5" applyFont="1" applyBorder="1" applyAlignment="1" applyProtection="1">
      <alignment horizontal="center" vertical="center"/>
    </xf>
    <xf numFmtId="0" fontId="25" fillId="0" borderId="0" xfId="5" applyFont="1" applyBorder="1" applyAlignment="1" applyProtection="1">
      <protection hidden="1"/>
    </xf>
    <xf numFmtId="0" fontId="22" fillId="0" borderId="0" xfId="5" applyFont="1" applyBorder="1" applyProtection="1">
      <protection hidden="1"/>
    </xf>
    <xf numFmtId="0" fontId="38" fillId="0" borderId="0" xfId="5" applyProtection="1">
      <protection hidden="1"/>
    </xf>
    <xf numFmtId="0" fontId="8" fillId="0" borderId="0" xfId="5" applyFont="1" applyBorder="1" applyAlignment="1" applyProtection="1">
      <alignment horizontal="center" vertical="center"/>
    </xf>
    <xf numFmtId="0" fontId="5" fillId="0" borderId="5" xfId="5" applyFont="1" applyBorder="1" applyAlignment="1" applyProtection="1">
      <alignment horizontal="center" vertical="center" wrapText="1"/>
      <protection hidden="1"/>
    </xf>
    <xf numFmtId="0" fontId="5" fillId="0" borderId="8" xfId="5" applyFont="1" applyBorder="1" applyAlignment="1" applyProtection="1">
      <alignment horizontal="center" vertical="center" wrapText="1"/>
      <protection hidden="1"/>
    </xf>
    <xf numFmtId="49" fontId="5" fillId="1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1" xfId="5" applyFont="1" applyBorder="1" applyAlignment="1" applyProtection="1"/>
    <xf numFmtId="0" fontId="26" fillId="10" borderId="9" xfId="5" applyFont="1" applyFill="1" applyBorder="1" applyAlignment="1" applyProtection="1">
      <alignment horizontal="center" vertical="center" wrapText="1"/>
      <protection locked="0"/>
    </xf>
    <xf numFmtId="0" fontId="27" fillId="0" borderId="0" xfId="5" applyFont="1" applyBorder="1" applyAlignment="1" applyProtection="1">
      <alignment wrapText="1"/>
      <protection hidden="1"/>
    </xf>
    <xf numFmtId="14" fontId="5" fillId="10" borderId="1" xfId="5" applyNumberFormat="1" applyFont="1" applyFill="1" applyBorder="1" applyAlignment="1" applyProtection="1">
      <alignment horizontal="center" vertical="center"/>
      <protection locked="0"/>
    </xf>
    <xf numFmtId="14" fontId="28" fillId="0" borderId="1" xfId="5" applyNumberFormat="1" applyFont="1" applyBorder="1" applyAlignment="1" applyProtection="1">
      <alignment horizontal="center" vertical="center"/>
    </xf>
    <xf numFmtId="14" fontId="1" fillId="0" borderId="1" xfId="5" applyNumberFormat="1" applyFont="1" applyBorder="1" applyAlignment="1" applyProtection="1">
      <alignment horizontal="center" vertical="center"/>
    </xf>
    <xf numFmtId="49" fontId="5" fillId="10" borderId="9" xfId="5" applyNumberFormat="1" applyFont="1" applyFill="1" applyBorder="1" applyAlignment="1" applyProtection="1">
      <alignment horizontal="center" vertical="center"/>
      <protection locked="0"/>
    </xf>
    <xf numFmtId="2" fontId="29" fillId="0" borderId="0" xfId="5" applyNumberFormat="1" applyFont="1" applyBorder="1" applyAlignment="1" applyProtection="1">
      <alignment wrapText="1"/>
      <protection hidden="1"/>
    </xf>
    <xf numFmtId="0" fontId="29" fillId="0" borderId="0" xfId="5" applyFont="1" applyBorder="1" applyAlignment="1" applyProtection="1">
      <alignment wrapText="1"/>
      <protection hidden="1"/>
    </xf>
    <xf numFmtId="0" fontId="8" fillId="0" borderId="0" xfId="5" applyFont="1" applyAlignment="1" applyProtection="1">
      <protection hidden="1"/>
    </xf>
    <xf numFmtId="49" fontId="38" fillId="0" borderId="0" xfId="5" applyNumberFormat="1" applyProtection="1">
      <protection hidden="1"/>
    </xf>
    <xf numFmtId="2" fontId="38" fillId="0" borderId="0" xfId="5" applyNumberFormat="1" applyProtection="1">
      <protection hidden="1"/>
    </xf>
    <xf numFmtId="0" fontId="5" fillId="10" borderId="1" xfId="5" applyFont="1" applyFill="1" applyBorder="1" applyAlignment="1" applyProtection="1">
      <alignment horizontal="center" vertical="center" wrapText="1" shrinkToFit="1"/>
      <protection locked="0"/>
    </xf>
    <xf numFmtId="0" fontId="5" fillId="10" borderId="9" xfId="5" applyFont="1" applyFill="1" applyBorder="1" applyAlignment="1" applyProtection="1">
      <alignment horizontal="center" vertical="center" wrapText="1" shrinkToFit="1"/>
      <protection locked="0"/>
    </xf>
    <xf numFmtId="0" fontId="5" fillId="0" borderId="10" xfId="5" applyFont="1" applyBorder="1" applyAlignment="1" applyProtection="1">
      <alignment horizontal="center" vertical="center" wrapText="1"/>
      <protection hidden="1"/>
    </xf>
    <xf numFmtId="0" fontId="39" fillId="0" borderId="3" xfId="5" applyFont="1" applyBorder="1" applyAlignment="1" applyProtection="1">
      <alignment horizontal="center" vertical="center" wrapText="1"/>
      <protection hidden="1"/>
    </xf>
    <xf numFmtId="0" fontId="5" fillId="0" borderId="3" xfId="5" applyFont="1" applyBorder="1" applyAlignment="1" applyProtection="1">
      <alignment vertical="center" wrapText="1"/>
    </xf>
    <xf numFmtId="0" fontId="5" fillId="10" borderId="11" xfId="5" applyFont="1" applyFill="1" applyBorder="1" applyAlignment="1" applyProtection="1">
      <alignment horizontal="center" vertical="center" wrapText="1"/>
      <protection locked="0"/>
    </xf>
    <xf numFmtId="0" fontId="9" fillId="0" borderId="0" xfId="5" applyFont="1" applyBorder="1" applyAlignment="1" applyProtection="1">
      <alignment horizontal="center" vertical="center" wrapText="1"/>
    </xf>
    <xf numFmtId="0" fontId="30" fillId="0" borderId="0" xfId="5" applyFont="1" applyBorder="1" applyAlignment="1" applyProtection="1">
      <alignment horizontal="center" vertical="center" wrapText="1"/>
      <protection hidden="1"/>
    </xf>
    <xf numFmtId="0" fontId="38" fillId="0" borderId="0" xfId="5" applyProtection="1"/>
    <xf numFmtId="0" fontId="3" fillId="0" borderId="0" xfId="5" applyFont="1" applyProtection="1"/>
    <xf numFmtId="0" fontId="22" fillId="0" borderId="0" xfId="5" applyFont="1" applyBorder="1" applyAlignment="1" applyProtection="1">
      <alignment horizontal="center" vertical="center"/>
      <protection hidden="1"/>
    </xf>
    <xf numFmtId="0" fontId="5" fillId="0" borderId="0" xfId="5" applyFont="1" applyFill="1" applyBorder="1" applyProtection="1">
      <protection hidden="1"/>
    </xf>
    <xf numFmtId="0" fontId="9" fillId="0" borderId="5" xfId="5" applyFont="1" applyBorder="1" applyAlignment="1" applyProtection="1">
      <alignment horizontal="center" vertical="center"/>
      <protection hidden="1"/>
    </xf>
    <xf numFmtId="0" fontId="9" fillId="0" borderId="6" xfId="5" applyFont="1" applyBorder="1" applyAlignment="1" applyProtection="1">
      <alignment horizontal="center" vertical="center"/>
      <protection hidden="1"/>
    </xf>
    <xf numFmtId="0" fontId="9" fillId="0" borderId="6" xfId="5" applyFont="1" applyBorder="1" applyAlignment="1" applyProtection="1">
      <alignment horizontal="center" vertical="center"/>
    </xf>
    <xf numFmtId="0" fontId="9" fillId="0" borderId="38" xfId="5" applyFont="1" applyBorder="1" applyAlignment="1" applyProtection="1">
      <alignment horizontal="center" vertical="center"/>
    </xf>
    <xf numFmtId="0" fontId="9" fillId="9" borderId="39" xfId="5" applyFont="1" applyFill="1" applyBorder="1" applyAlignment="1" applyProtection="1">
      <alignment horizontal="center" vertical="center" wrapText="1"/>
    </xf>
    <xf numFmtId="0" fontId="31" fillId="0" borderId="0" xfId="5" applyFont="1" applyBorder="1" applyAlignment="1" applyProtection="1">
      <alignment horizontal="center" vertical="center"/>
      <protection hidden="1"/>
    </xf>
    <xf numFmtId="0" fontId="5" fillId="9" borderId="8" xfId="5" applyFont="1" applyFill="1" applyBorder="1" applyAlignment="1" applyProtection="1">
      <alignment horizontal="center" vertical="center" wrapText="1"/>
      <protection hidden="1"/>
    </xf>
    <xf numFmtId="0" fontId="5" fillId="9" borderId="1" xfId="5" applyFont="1" applyFill="1" applyBorder="1" applyAlignment="1" applyProtection="1">
      <alignment horizontal="center" vertical="center"/>
      <protection hidden="1"/>
    </xf>
    <xf numFmtId="0" fontId="5" fillId="0" borderId="1" xfId="5" applyFont="1" applyFill="1" applyBorder="1" applyAlignment="1" applyProtection="1">
      <alignment horizontal="center" vertical="center"/>
    </xf>
    <xf numFmtId="0" fontId="5" fillId="0" borderId="36" xfId="5" applyFont="1" applyFill="1" applyBorder="1" applyAlignment="1" applyProtection="1">
      <alignment horizontal="center" vertical="center"/>
    </xf>
    <xf numFmtId="0" fontId="5" fillId="0" borderId="41" xfId="5" applyFont="1" applyBorder="1" applyAlignment="1" applyProtection="1">
      <alignment horizontal="center" vertical="center" wrapText="1"/>
      <protection locked="0"/>
    </xf>
    <xf numFmtId="0" fontId="5" fillId="0" borderId="0" xfId="5" applyFont="1" applyBorder="1" applyProtection="1"/>
    <xf numFmtId="0" fontId="10" fillId="0" borderId="33" xfId="5" applyFont="1" applyBorder="1" applyAlignment="1" applyProtection="1">
      <alignment vertical="center" textRotation="90"/>
      <protection hidden="1"/>
    </xf>
    <xf numFmtId="0" fontId="5" fillId="0" borderId="1" xfId="5" applyFont="1" applyFill="1" applyBorder="1" applyAlignment="1" applyProtection="1">
      <alignment horizontal="center" vertical="center"/>
      <protection hidden="1"/>
    </xf>
    <xf numFmtId="0" fontId="5" fillId="0" borderId="8" xfId="5" applyFont="1" applyFill="1" applyBorder="1" applyAlignment="1" applyProtection="1">
      <alignment horizontal="center" vertical="center" wrapText="1"/>
      <protection hidden="1"/>
    </xf>
    <xf numFmtId="0" fontId="22" fillId="0" borderId="0" xfId="5" applyFont="1" applyBorder="1" applyAlignment="1" applyProtection="1">
      <alignment horizontal="center" vertical="center" wrapText="1"/>
      <protection hidden="1"/>
    </xf>
    <xf numFmtId="0" fontId="5" fillId="6" borderId="8" xfId="5" applyFont="1" applyFill="1" applyBorder="1" applyAlignment="1" applyProtection="1">
      <alignment horizontal="center" vertical="center" wrapText="1"/>
      <protection hidden="1"/>
    </xf>
    <xf numFmtId="0" fontId="5" fillId="0" borderId="16" xfId="5" applyFont="1" applyFill="1" applyBorder="1" applyAlignment="1" applyProtection="1">
      <alignment horizontal="center" vertical="center" wrapText="1"/>
      <protection hidden="1"/>
    </xf>
    <xf numFmtId="0" fontId="5" fillId="0" borderId="2" xfId="5" applyFont="1" applyFill="1" applyBorder="1" applyAlignment="1" applyProtection="1">
      <alignment horizontal="center" vertical="center"/>
      <protection hidden="1"/>
    </xf>
    <xf numFmtId="0" fontId="5" fillId="0" borderId="2" xfId="5" applyFont="1" applyFill="1" applyBorder="1" applyAlignment="1" applyProtection="1">
      <alignment horizontal="center" vertical="center"/>
    </xf>
    <xf numFmtId="0" fontId="5" fillId="0" borderId="43" xfId="5" applyFont="1" applyFill="1" applyBorder="1" applyAlignment="1" applyProtection="1">
      <alignment horizontal="center" vertical="center"/>
    </xf>
    <xf numFmtId="0" fontId="5" fillId="0" borderId="44" xfId="5" applyFont="1" applyBorder="1" applyAlignment="1" applyProtection="1">
      <alignment horizontal="center" vertical="center" wrapText="1"/>
      <protection locked="0"/>
    </xf>
    <xf numFmtId="0" fontId="32" fillId="0" borderId="0" xfId="5" applyFont="1" applyAlignment="1" applyProtection="1">
      <alignment horizontal="center" vertical="center" textRotation="90" wrapText="1"/>
      <protection hidden="1"/>
    </xf>
    <xf numFmtId="0" fontId="5" fillId="0" borderId="14" xfId="5" applyFont="1" applyFill="1" applyBorder="1" applyAlignment="1" applyProtection="1">
      <alignment horizontal="center" vertical="center" wrapText="1"/>
      <protection hidden="1"/>
    </xf>
    <xf numFmtId="14" fontId="5" fillId="10" borderId="12" xfId="5" applyNumberFormat="1" applyFont="1" applyFill="1" applyBorder="1" applyAlignment="1" applyProtection="1">
      <alignment horizontal="center" vertical="center"/>
      <protection locked="0"/>
    </xf>
    <xf numFmtId="0" fontId="33" fillId="0" borderId="12" xfId="5" applyFont="1" applyBorder="1" applyAlignment="1" applyProtection="1">
      <alignment vertical="center" wrapText="1"/>
    </xf>
    <xf numFmtId="0" fontId="38" fillId="0" borderId="0" xfId="5"/>
    <xf numFmtId="0" fontId="1" fillId="0" borderId="0" xfId="1" applyFont="1"/>
    <xf numFmtId="49" fontId="1" fillId="0" borderId="4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11" borderId="0" xfId="1" applyFill="1"/>
    <xf numFmtId="49" fontId="1" fillId="0" borderId="8" xfId="1" applyNumberFormat="1" applyFont="1" applyFill="1" applyBorder="1" applyAlignment="1" applyProtection="1">
      <alignment horizontal="left" vertical="center"/>
    </xf>
    <xf numFmtId="164" fontId="15" fillId="5" borderId="2" xfId="0" applyNumberFormat="1" applyFont="1" applyFill="1" applyBorder="1" applyAlignment="1" applyProtection="1">
      <alignment horizontal="center" vertical="center" wrapText="1"/>
    </xf>
    <xf numFmtId="164" fontId="15" fillId="5" borderId="18" xfId="0" applyNumberFormat="1" applyFont="1" applyFill="1" applyBorder="1" applyAlignment="1" applyProtection="1">
      <alignment horizontal="center" vertical="center" wrapText="1"/>
    </xf>
    <xf numFmtId="164" fontId="15" fillId="5" borderId="19" xfId="0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49" fontId="14" fillId="4" borderId="6" xfId="1" applyNumberFormat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14" fillId="0" borderId="6" xfId="1" applyFont="1" applyFill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left" vertical="center"/>
    </xf>
    <xf numFmtId="0" fontId="14" fillId="4" borderId="6" xfId="1" applyFont="1" applyFill="1" applyBorder="1" applyAlignment="1" applyProtection="1">
      <alignment horizontal="center" vertical="center"/>
      <protection locked="0"/>
    </xf>
    <xf numFmtId="0" fontId="14" fillId="4" borderId="7" xfId="1" applyFont="1" applyFill="1" applyBorder="1" applyAlignment="1" applyProtection="1">
      <alignment horizontal="center" vertical="center"/>
      <protection locked="0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14" fillId="4" borderId="9" xfId="1" applyFont="1" applyFill="1" applyBorder="1" applyAlignment="1" applyProtection="1">
      <alignment horizontal="center" vertical="center"/>
      <protection locked="0"/>
    </xf>
    <xf numFmtId="49" fontId="42" fillId="0" borderId="0" xfId="1" applyNumberFormat="1" applyFont="1" applyBorder="1" applyAlignment="1" applyProtection="1">
      <alignment horizontal="center" vertical="center" wrapText="1"/>
    </xf>
    <xf numFmtId="167" fontId="3" fillId="7" borderId="20" xfId="1" applyNumberFormat="1" applyFont="1" applyFill="1" applyBorder="1" applyAlignment="1" applyProtection="1">
      <alignment horizontal="center" vertical="center" wrapText="1"/>
    </xf>
    <xf numFmtId="167" fontId="3" fillId="7" borderId="21" xfId="1" applyNumberFormat="1" applyFont="1" applyFill="1" applyBorder="1" applyAlignment="1" applyProtection="1">
      <alignment horizontal="center" vertical="center" wrapText="1"/>
    </xf>
    <xf numFmtId="14" fontId="3" fillId="6" borderId="1" xfId="1" applyNumberFormat="1" applyFont="1" applyFill="1" applyBorder="1" applyAlignment="1" applyProtection="1">
      <alignment horizontal="center" vertical="center"/>
      <protection locked="0"/>
    </xf>
    <xf numFmtId="14" fontId="3" fillId="6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/>
    </xf>
    <xf numFmtId="0" fontId="3" fillId="4" borderId="9" xfId="1" applyFont="1" applyFill="1" applyBorder="1" applyAlignment="1" applyProtection="1">
      <alignment horizontal="center" vertical="center" wrapText="1"/>
      <protection locked="0"/>
    </xf>
    <xf numFmtId="49" fontId="18" fillId="0" borderId="12" xfId="1" applyNumberFormat="1" applyFont="1" applyBorder="1" applyAlignment="1" applyProtection="1">
      <alignment horizontal="center" vertical="center" wrapText="1"/>
      <protection locked="0"/>
    </xf>
    <xf numFmtId="49" fontId="18" fillId="0" borderId="17" xfId="1" applyNumberFormat="1" applyFont="1" applyBorder="1" applyAlignment="1" applyProtection="1">
      <alignment horizontal="center" vertical="center" wrapText="1"/>
      <protection locked="0"/>
    </xf>
    <xf numFmtId="0" fontId="19" fillId="0" borderId="12" xfId="1" applyFont="1" applyBorder="1" applyAlignment="1" applyProtection="1">
      <alignment horizontal="center" vertical="center" wrapText="1"/>
    </xf>
    <xf numFmtId="0" fontId="19" fillId="0" borderId="1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20" fillId="0" borderId="27" xfId="1" applyFont="1" applyBorder="1" applyAlignment="1" applyProtection="1">
      <alignment horizontal="center" vertical="center"/>
    </xf>
    <xf numFmtId="0" fontId="20" fillId="0" borderId="28" xfId="1" applyFont="1" applyBorder="1" applyAlignment="1" applyProtection="1">
      <alignment horizontal="center" vertical="center"/>
    </xf>
    <xf numFmtId="0" fontId="20" fillId="0" borderId="29" xfId="1" applyFont="1" applyBorder="1" applyAlignment="1" applyProtection="1">
      <alignment horizontal="center" vertical="center"/>
    </xf>
    <xf numFmtId="49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5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4" fillId="0" borderId="46" xfId="5" applyFont="1" applyBorder="1" applyAlignment="1" applyProtection="1">
      <alignment horizontal="center" vertical="center" wrapText="1"/>
      <protection hidden="1"/>
    </xf>
    <xf numFmtId="0" fontId="34" fillId="0" borderId="12" xfId="5" applyFont="1" applyBorder="1" applyAlignment="1" applyProtection="1">
      <alignment horizontal="center" vertical="center" wrapText="1"/>
      <protection hidden="1"/>
    </xf>
    <xf numFmtId="0" fontId="34" fillId="0" borderId="17" xfId="5" applyFont="1" applyBorder="1" applyAlignment="1" applyProtection="1">
      <alignment horizontal="center" vertical="center" wrapText="1"/>
      <protection hidden="1"/>
    </xf>
    <xf numFmtId="0" fontId="5" fillId="0" borderId="42" xfId="5" applyFont="1" applyBorder="1" applyAlignment="1" applyProtection="1">
      <alignment horizontal="center" vertical="center"/>
      <protection locked="0"/>
    </xf>
    <xf numFmtId="0" fontId="5" fillId="0" borderId="9" xfId="5" applyFont="1" applyBorder="1" applyAlignment="1" applyProtection="1">
      <alignment horizontal="center" vertical="center"/>
      <protection locked="0"/>
    </xf>
    <xf numFmtId="0" fontId="10" fillId="0" borderId="34" xfId="5" applyFont="1" applyBorder="1" applyAlignment="1" applyProtection="1">
      <alignment horizontal="center" vertical="center" textRotation="90"/>
      <protection hidden="1"/>
    </xf>
    <xf numFmtId="0" fontId="10" fillId="0" borderId="35" xfId="5" applyFont="1" applyBorder="1" applyAlignment="1" applyProtection="1">
      <alignment horizontal="center" vertical="center" textRotation="90"/>
      <protection hidden="1"/>
    </xf>
    <xf numFmtId="0" fontId="10" fillId="0" borderId="22" xfId="5" applyFont="1" applyBorder="1" applyAlignment="1" applyProtection="1">
      <alignment horizontal="center" vertical="center" textRotation="90"/>
      <protection hidden="1"/>
    </xf>
    <xf numFmtId="0" fontId="10" fillId="0" borderId="36" xfId="5" applyFont="1" applyBorder="1" applyAlignment="1" applyProtection="1">
      <alignment horizontal="center" vertical="center" textRotation="90" wrapText="1"/>
      <protection hidden="1"/>
    </xf>
    <xf numFmtId="0" fontId="5" fillId="0" borderId="45" xfId="5" applyFont="1" applyBorder="1" applyAlignment="1" applyProtection="1">
      <alignment horizontal="center" vertical="center"/>
      <protection locked="0"/>
    </xf>
    <xf numFmtId="0" fontId="5" fillId="0" borderId="37" xfId="5" applyFont="1" applyBorder="1" applyAlignment="1" applyProtection="1">
      <alignment horizontal="center" vertical="center"/>
      <protection locked="0"/>
    </xf>
    <xf numFmtId="0" fontId="9" fillId="9" borderId="40" xfId="5" applyFont="1" applyFill="1" applyBorder="1" applyAlignment="1" applyProtection="1">
      <alignment horizontal="center" vertical="center" wrapText="1"/>
    </xf>
    <xf numFmtId="0" fontId="9" fillId="9" borderId="7" xfId="5" applyFont="1" applyFill="1" applyBorder="1" applyAlignment="1" applyProtection="1">
      <alignment horizontal="center" vertical="center" wrapText="1"/>
    </xf>
    <xf numFmtId="0" fontId="10" fillId="0" borderId="32" xfId="5" applyFont="1" applyBorder="1" applyAlignment="1" applyProtection="1">
      <alignment horizontal="center" vertical="center" textRotation="90" wrapText="1"/>
      <protection hidden="1"/>
    </xf>
    <xf numFmtId="0" fontId="10" fillId="0" borderId="33" xfId="5" applyFont="1" applyBorder="1" applyAlignment="1" applyProtection="1">
      <alignment horizontal="center" vertical="center" textRotation="90" wrapText="1"/>
      <protection hidden="1"/>
    </xf>
    <xf numFmtId="0" fontId="8" fillId="0" borderId="0" xfId="5" applyFont="1" applyBorder="1" applyAlignment="1" applyProtection="1">
      <alignment horizontal="center" vertical="center"/>
    </xf>
    <xf numFmtId="0" fontId="26" fillId="0" borderId="20" xfId="5" applyFont="1" applyBorder="1" applyAlignment="1" applyProtection="1">
      <alignment horizontal="center"/>
      <protection hidden="1"/>
    </xf>
    <xf numFmtId="0" fontId="26" fillId="0" borderId="21" xfId="5" applyFont="1" applyBorder="1" applyAlignment="1" applyProtection="1">
      <alignment horizontal="center"/>
      <protection hidden="1"/>
    </xf>
    <xf numFmtId="0" fontId="26" fillId="0" borderId="15" xfId="5" applyFont="1" applyBorder="1" applyAlignment="1" applyProtection="1">
      <alignment horizontal="center"/>
      <protection hidden="1"/>
    </xf>
    <xf numFmtId="0" fontId="9" fillId="0" borderId="30" xfId="5" applyFont="1" applyBorder="1" applyAlignment="1" applyProtection="1">
      <alignment horizontal="center" vertical="center" textRotation="90" wrapText="1"/>
      <protection hidden="1"/>
    </xf>
    <xf numFmtId="0" fontId="9" fillId="0" borderId="23" xfId="5" applyFont="1" applyBorder="1" applyAlignment="1" applyProtection="1">
      <alignment horizontal="center" vertical="center" textRotation="90" wrapText="1"/>
      <protection hidden="1"/>
    </xf>
    <xf numFmtId="0" fontId="9" fillId="0" borderId="31" xfId="5" applyFont="1" applyBorder="1" applyAlignment="1" applyProtection="1">
      <alignment horizontal="center" vertical="center" textRotation="90" wrapText="1"/>
      <protection hidden="1"/>
    </xf>
    <xf numFmtId="49" fontId="5" fillId="10" borderId="6" xfId="5" applyNumberFormat="1" applyFont="1" applyFill="1" applyBorder="1" applyAlignment="1" applyProtection="1">
      <alignment horizontal="center" vertical="center"/>
      <protection locked="0"/>
    </xf>
    <xf numFmtId="49" fontId="5" fillId="10" borderId="7" xfId="5" applyNumberFormat="1" applyFont="1" applyFill="1" applyBorder="1" applyAlignment="1" applyProtection="1">
      <alignment horizontal="center" vertical="center"/>
      <protection locked="0"/>
    </xf>
    <xf numFmtId="14" fontId="5" fillId="0" borderId="1" xfId="5" applyNumberFormat="1" applyFont="1" applyBorder="1" applyAlignment="1" applyProtection="1">
      <alignment horizontal="center" vertical="center" wrapText="1"/>
      <protection hidden="1"/>
    </xf>
    <xf numFmtId="0" fontId="5" fillId="8" borderId="1" xfId="5" applyFont="1" applyFill="1" applyBorder="1" applyAlignment="1" applyProtection="1">
      <alignment horizontal="center" vertical="center" wrapText="1" shrinkToFit="1"/>
    </xf>
    <xf numFmtId="0" fontId="5" fillId="0" borderId="1" xfId="5" applyFont="1" applyBorder="1" applyAlignment="1" applyProtection="1">
      <alignment horizontal="center" vertical="center" wrapText="1"/>
      <protection hidden="1"/>
    </xf>
    <xf numFmtId="0" fontId="5" fillId="0" borderId="3" xfId="5" applyFont="1" applyBorder="1" applyAlignment="1" applyProtection="1">
      <alignment horizontal="center" vertical="center" wrapText="1"/>
      <protection hidden="1"/>
    </xf>
  </cellXfs>
  <cellStyles count="6">
    <cellStyle name="Normál" xfId="0" builtinId="0"/>
    <cellStyle name="Normál 2" xfId="1" xr:uid="{00000000-0005-0000-0000-000001000000}"/>
    <cellStyle name="Normál 3" xfId="5" xr:uid="{00000000-0005-0000-0000-000002000000}"/>
    <cellStyle name="Pénznem" xfId="2" builtinId="4"/>
    <cellStyle name="Pénznem 2" xfId="3" xr:uid="{00000000-0005-0000-0000-000004000000}"/>
    <cellStyle name="Százalék 2" xfId="4" xr:uid="{00000000-0005-0000-0000-000005000000}"/>
  </cellStyles>
  <dxfs count="2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4B23D.3447B1D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19050</xdr:rowOff>
    </xdr:from>
    <xdr:to>
      <xdr:col>2</xdr:col>
      <xdr:colOff>1190828</xdr:colOff>
      <xdr:row>2</xdr:row>
      <xdr:rowOff>19050</xdr:rowOff>
    </xdr:to>
    <xdr:pic>
      <xdr:nvPicPr>
        <xdr:cNvPr id="1033" name="Kép 8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111462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1876425</xdr:colOff>
      <xdr:row>0</xdr:row>
      <xdr:rowOff>0</xdr:rowOff>
    </xdr:from>
    <xdr:to>
      <xdr:col>10</xdr:col>
      <xdr:colOff>3000375</xdr:colOff>
      <xdr:row>2</xdr:row>
      <xdr:rowOff>12174</xdr:rowOff>
    </xdr:to>
    <xdr:pic>
      <xdr:nvPicPr>
        <xdr:cNvPr id="3" name="Kép 2" descr="HU_Lakastakare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0"/>
          <a:ext cx="1123950" cy="488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504825</xdr:colOff>
      <xdr:row>0</xdr:row>
      <xdr:rowOff>466725</xdr:rowOff>
    </xdr:to>
    <xdr:pic>
      <xdr:nvPicPr>
        <xdr:cNvPr id="2" name="Kép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hartmanni\Downloads\K&#225;ll&#243;semj&#233;n%20D&#243;zsa%20gy%20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001srv1\o_root\Users\hartmanni\Downloads\K&#225;ll&#243;semj&#233;n%20D&#243;zsa%20gy%20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D19"/>
  <sheetViews>
    <sheetView zoomScaleNormal="100" zoomScaleSheetLayoutView="100" workbookViewId="0">
      <selection activeCell="C13" sqref="C13"/>
    </sheetView>
  </sheetViews>
  <sheetFormatPr defaultColWidth="45" defaultRowHeight="14.4" x14ac:dyDescent="0.3"/>
  <cols>
    <col min="2" max="2" width="45.109375" hidden="1" customWidth="1"/>
    <col min="3" max="3" width="20.5546875" customWidth="1"/>
    <col min="4" max="4" width="12.6640625" bestFit="1" customWidth="1"/>
  </cols>
  <sheetData>
    <row r="1" spans="1:4" x14ac:dyDescent="0.3">
      <c r="A1" s="2" t="s">
        <v>19</v>
      </c>
      <c r="B1" s="5" t="s">
        <v>22</v>
      </c>
      <c r="C1" s="5" t="s">
        <v>18</v>
      </c>
      <c r="D1" s="8" t="s">
        <v>17</v>
      </c>
    </row>
    <row r="2" spans="1:4" s="1" customFormat="1" hidden="1" x14ac:dyDescent="0.3">
      <c r="A2" s="2"/>
      <c r="B2" s="2" t="s">
        <v>20</v>
      </c>
      <c r="C2" s="3" t="s">
        <v>21</v>
      </c>
    </row>
    <row r="3" spans="1:4" x14ac:dyDescent="0.3">
      <c r="A3" s="6" t="s">
        <v>0</v>
      </c>
      <c r="B3" s="7" t="s">
        <v>23</v>
      </c>
      <c r="C3" s="4" t="e">
        <f>'Építés-bővítés'!I13</f>
        <v>#N/A</v>
      </c>
      <c r="D3" s="150" t="e">
        <f>SUM(C3:C19)</f>
        <v>#N/A</v>
      </c>
    </row>
    <row r="4" spans="1:4" x14ac:dyDescent="0.3">
      <c r="A4" s="6" t="s">
        <v>1</v>
      </c>
      <c r="B4" s="7" t="s">
        <v>24</v>
      </c>
      <c r="C4" s="4" t="e">
        <f>'Építés-bővítés'!I14</f>
        <v>#N/A</v>
      </c>
      <c r="D4" s="151"/>
    </row>
    <row r="5" spans="1:4" x14ac:dyDescent="0.3">
      <c r="A5" s="6" t="s">
        <v>2</v>
      </c>
      <c r="B5" s="7" t="s">
        <v>27</v>
      </c>
      <c r="C5" s="4" t="e">
        <f>'Építés-bővítés'!I15</f>
        <v>#N/A</v>
      </c>
      <c r="D5" s="151"/>
    </row>
    <row r="6" spans="1:4" x14ac:dyDescent="0.3">
      <c r="A6" s="6" t="s">
        <v>3</v>
      </c>
      <c r="B6" s="7" t="s">
        <v>28</v>
      </c>
      <c r="C6" s="4" t="e">
        <f>'Építés-bővítés'!I16</f>
        <v>#N/A</v>
      </c>
      <c r="D6" s="151"/>
    </row>
    <row r="7" spans="1:4" x14ac:dyDescent="0.3">
      <c r="A7" s="6" t="s">
        <v>4</v>
      </c>
      <c r="B7" s="7" t="s">
        <v>29</v>
      </c>
      <c r="C7" s="4" t="e">
        <f>'Építés-bővítés'!I17</f>
        <v>#N/A</v>
      </c>
      <c r="D7" s="151"/>
    </row>
    <row r="8" spans="1:4" x14ac:dyDescent="0.3">
      <c r="A8" s="6" t="s">
        <v>5</v>
      </c>
      <c r="B8" s="7" t="s">
        <v>30</v>
      </c>
      <c r="C8" s="4" t="e">
        <f>'Építés-bővítés'!I18</f>
        <v>#N/A</v>
      </c>
      <c r="D8" s="151"/>
    </row>
    <row r="9" spans="1:4" x14ac:dyDescent="0.3">
      <c r="A9" s="6" t="s">
        <v>6</v>
      </c>
      <c r="B9" s="7" t="s">
        <v>31</v>
      </c>
      <c r="C9" s="4" t="e">
        <f>'Építés-bővítés'!I19</f>
        <v>#N/A</v>
      </c>
      <c r="D9" s="151"/>
    </row>
    <row r="10" spans="1:4" x14ac:dyDescent="0.3">
      <c r="A10" s="6" t="s">
        <v>7</v>
      </c>
      <c r="B10" s="7" t="s">
        <v>32</v>
      </c>
      <c r="C10" s="4" t="e">
        <f>'Építés-bővítés'!I20</f>
        <v>#N/A</v>
      </c>
      <c r="D10" s="151"/>
    </row>
    <row r="11" spans="1:4" x14ac:dyDescent="0.3">
      <c r="A11" s="6" t="s">
        <v>8</v>
      </c>
      <c r="B11" s="7" t="s">
        <v>33</v>
      </c>
      <c r="C11" s="4" t="e">
        <f>'Építés-bővítés'!I21</f>
        <v>#N/A</v>
      </c>
      <c r="D11" s="151"/>
    </row>
    <row r="12" spans="1:4" x14ac:dyDescent="0.3">
      <c r="A12" s="6" t="s">
        <v>9</v>
      </c>
      <c r="B12" s="7" t="s">
        <v>34</v>
      </c>
      <c r="C12" s="4" t="e">
        <f>'Építés-bővítés'!I22</f>
        <v>#N/A</v>
      </c>
      <c r="D12" s="151"/>
    </row>
    <row r="13" spans="1:4" x14ac:dyDescent="0.3">
      <c r="A13" s="6" t="s">
        <v>10</v>
      </c>
      <c r="B13" s="7" t="s">
        <v>35</v>
      </c>
      <c r="C13" s="4" t="e">
        <f>'Építés-bővítés'!I23</f>
        <v>#N/A</v>
      </c>
      <c r="D13" s="151"/>
    </row>
    <row r="14" spans="1:4" x14ac:dyDescent="0.3">
      <c r="A14" s="6" t="s">
        <v>11</v>
      </c>
      <c r="B14" s="7" t="s">
        <v>36</v>
      </c>
      <c r="C14" s="4" t="e">
        <f>'Építés-bővítés'!I24</f>
        <v>#N/A</v>
      </c>
      <c r="D14" s="151"/>
    </row>
    <row r="15" spans="1:4" x14ac:dyDescent="0.3">
      <c r="A15" s="6" t="s">
        <v>12</v>
      </c>
      <c r="B15" s="7" t="s">
        <v>37</v>
      </c>
      <c r="C15" s="4" t="e">
        <f>'Építés-bővítés'!I25</f>
        <v>#N/A</v>
      </c>
      <c r="D15" s="151"/>
    </row>
    <row r="16" spans="1:4" x14ac:dyDescent="0.3">
      <c r="A16" s="6" t="s">
        <v>13</v>
      </c>
      <c r="B16" s="7" t="s">
        <v>38</v>
      </c>
      <c r="C16" s="4" t="e">
        <f>'Építés-bővítés'!I26</f>
        <v>#N/A</v>
      </c>
      <c r="D16" s="151"/>
    </row>
    <row r="17" spans="1:4" x14ac:dyDescent="0.3">
      <c r="A17" s="6" t="s">
        <v>14</v>
      </c>
      <c r="B17" s="7" t="s">
        <v>39</v>
      </c>
      <c r="C17" s="4" t="e">
        <f>'Építés-bővítés'!I27</f>
        <v>#N/A</v>
      </c>
      <c r="D17" s="151"/>
    </row>
    <row r="18" spans="1:4" x14ac:dyDescent="0.3">
      <c r="A18" s="6" t="s">
        <v>15</v>
      </c>
      <c r="B18" s="7" t="s">
        <v>26</v>
      </c>
      <c r="C18" s="4" t="e">
        <f>'Építés-bővítés'!I28</f>
        <v>#N/A</v>
      </c>
      <c r="D18" s="151"/>
    </row>
    <row r="19" spans="1:4" x14ac:dyDescent="0.3">
      <c r="A19" s="6" t="s">
        <v>16</v>
      </c>
      <c r="B19" s="7" t="s">
        <v>25</v>
      </c>
      <c r="C19" s="4">
        <f>'Építés-bővítés'!I29</f>
        <v>0</v>
      </c>
      <c r="D19" s="152"/>
    </row>
  </sheetData>
  <sheetProtection selectLockedCells="1"/>
  <mergeCells count="1">
    <mergeCell ref="D3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tabColor rgb="FF00B0F0"/>
    <pageSetUpPr fitToPage="1"/>
  </sheetPr>
  <dimension ref="B1:AB89"/>
  <sheetViews>
    <sheetView tabSelected="1" topLeftCell="A19" zoomScaleNormal="100" zoomScaleSheetLayoutView="85" workbookViewId="0">
      <selection activeCell="H30" sqref="H30"/>
    </sheetView>
  </sheetViews>
  <sheetFormatPr defaultColWidth="0" defaultRowHeight="13.2" x14ac:dyDescent="0.25"/>
  <cols>
    <col min="1" max="1" width="4.44140625" style="24" customWidth="1"/>
    <col min="2" max="2" width="4.44140625" style="47" hidden="1" customWidth="1"/>
    <col min="3" max="3" width="43" style="47" customWidth="1"/>
    <col min="4" max="5" width="10.33203125" style="48" hidden="1" customWidth="1"/>
    <col min="6" max="6" width="22.6640625" style="48" customWidth="1"/>
    <col min="7" max="9" width="18" style="24" customWidth="1"/>
    <col min="10" max="10" width="12" style="24" customWidth="1"/>
    <col min="11" max="11" width="50" style="24" customWidth="1"/>
    <col min="12" max="12" width="4.44140625" style="24" hidden="1" customWidth="1"/>
    <col min="13" max="15" width="12.109375" style="24" hidden="1" customWidth="1"/>
    <col min="16" max="16" width="6.33203125" style="24" hidden="1" customWidth="1"/>
    <col min="17" max="18" width="9.109375" style="24" hidden="1" customWidth="1"/>
    <col min="19" max="19" width="9.109375" style="25" hidden="1" customWidth="1"/>
    <col min="20" max="25" width="9.109375" style="24" hidden="1" customWidth="1"/>
    <col min="26" max="26" width="5.109375" style="24" hidden="1" customWidth="1"/>
    <col min="27" max="245" width="9.109375" style="24" customWidth="1"/>
    <col min="246" max="246" width="4.44140625" style="24" customWidth="1"/>
    <col min="247" max="247" width="0" style="24" hidden="1" customWidth="1"/>
    <col min="248" max="248" width="40.33203125" style="24" customWidth="1"/>
    <col min="249" max="250" width="10.33203125" style="24" customWidth="1"/>
    <col min="251" max="251" width="21" style="24" customWidth="1"/>
    <col min="252" max="252" width="22.6640625" style="24" customWidth="1"/>
    <col min="253" max="254" width="0" style="24" hidden="1" customWidth="1"/>
    <col min="255" max="255" width="22.6640625" style="24" customWidth="1"/>
    <col min="256" max="16384" width="0" style="24" hidden="1"/>
  </cols>
  <sheetData>
    <row r="1" spans="2:28" ht="18.75" customHeight="1" x14ac:dyDescent="0.25">
      <c r="B1" s="23"/>
      <c r="C1" s="153" t="s">
        <v>110</v>
      </c>
      <c r="D1" s="153"/>
      <c r="E1" s="153"/>
      <c r="F1" s="153"/>
      <c r="G1" s="153"/>
      <c r="H1" s="153"/>
      <c r="I1" s="153"/>
      <c r="J1" s="153"/>
      <c r="K1" s="153"/>
    </row>
    <row r="2" spans="2:28" ht="18.75" customHeight="1" x14ac:dyDescent="0.25">
      <c r="B2" s="23"/>
      <c r="C2" s="26"/>
      <c r="D2" s="26"/>
      <c r="E2" s="26"/>
      <c r="F2" s="163" t="s">
        <v>167</v>
      </c>
      <c r="G2" s="163"/>
      <c r="H2" s="163"/>
      <c r="I2" s="163"/>
      <c r="J2" s="163"/>
      <c r="K2" s="84" t="s">
        <v>168</v>
      </c>
    </row>
    <row r="3" spans="2:28" ht="11.25" customHeight="1" thickBot="1" x14ac:dyDescent="0.3">
      <c r="B3" s="154"/>
      <c r="C3" s="154"/>
      <c r="D3" s="154"/>
      <c r="E3" s="154"/>
      <c r="F3" s="154"/>
    </row>
    <row r="4" spans="2:28" ht="18" customHeight="1" x14ac:dyDescent="0.25">
      <c r="B4" s="27"/>
      <c r="C4" s="70" t="s">
        <v>41</v>
      </c>
      <c r="D4" s="155"/>
      <c r="E4" s="155"/>
      <c r="F4" s="155"/>
      <c r="G4" s="157" t="s">
        <v>40</v>
      </c>
      <c r="H4" s="157"/>
      <c r="I4" s="157"/>
      <c r="J4" s="159"/>
      <c r="K4" s="160"/>
    </row>
    <row r="5" spans="2:28" ht="18" customHeight="1" x14ac:dyDescent="0.25">
      <c r="B5" s="27"/>
      <c r="C5" s="71" t="s">
        <v>109</v>
      </c>
      <c r="D5" s="156"/>
      <c r="E5" s="156"/>
      <c r="F5" s="156"/>
      <c r="G5" s="158" t="s">
        <v>103</v>
      </c>
      <c r="H5" s="158"/>
      <c r="I5" s="158"/>
      <c r="J5" s="161"/>
      <c r="K5" s="162"/>
    </row>
    <row r="6" spans="2:28" ht="18" customHeight="1" x14ac:dyDescent="0.25">
      <c r="B6" s="27"/>
      <c r="C6" s="174" t="s">
        <v>104</v>
      </c>
      <c r="D6" s="168"/>
      <c r="E6" s="168"/>
      <c r="F6" s="49"/>
      <c r="G6" s="175" t="s">
        <v>105</v>
      </c>
      <c r="H6" s="175"/>
      <c r="I6" s="175"/>
      <c r="J6" s="166"/>
      <c r="K6" s="167"/>
      <c r="L6" s="28"/>
      <c r="M6" s="28"/>
      <c r="N6" s="28"/>
      <c r="O6" s="28"/>
      <c r="P6" s="28"/>
      <c r="Q6" s="28"/>
    </row>
    <row r="7" spans="2:28" ht="28.5" customHeight="1" x14ac:dyDescent="0.25">
      <c r="B7" s="27"/>
      <c r="C7" s="71" t="s">
        <v>107</v>
      </c>
      <c r="D7" s="69"/>
      <c r="E7" s="69"/>
      <c r="F7" s="50"/>
      <c r="G7" s="168" t="s">
        <v>106</v>
      </c>
      <c r="H7" s="168"/>
      <c r="I7" s="168"/>
      <c r="J7" s="156"/>
      <c r="K7" s="169"/>
      <c r="L7" s="28"/>
      <c r="M7" s="28"/>
      <c r="O7" s="28"/>
      <c r="P7" s="28"/>
      <c r="Q7" s="28"/>
      <c r="AB7" s="82"/>
    </row>
    <row r="8" spans="2:28" ht="28.5" customHeight="1" x14ac:dyDescent="0.25">
      <c r="B8" s="27"/>
      <c r="C8" s="71" t="s">
        <v>42</v>
      </c>
      <c r="D8" s="180"/>
      <c r="E8" s="180"/>
      <c r="F8" s="180"/>
      <c r="G8" s="175" t="s">
        <v>93</v>
      </c>
      <c r="H8" s="175"/>
      <c r="I8" s="175"/>
      <c r="J8" s="175"/>
      <c r="K8" s="72"/>
      <c r="L8" s="28"/>
      <c r="M8" s="28"/>
      <c r="N8" s="28"/>
      <c r="O8" s="28"/>
      <c r="P8" s="28"/>
      <c r="Q8" s="28"/>
    </row>
    <row r="9" spans="2:28" ht="28.5" customHeight="1" x14ac:dyDescent="0.25">
      <c r="B9" s="27"/>
      <c r="C9" s="71" t="s">
        <v>118</v>
      </c>
      <c r="D9" s="181"/>
      <c r="E9" s="181"/>
      <c r="F9" s="181"/>
      <c r="G9" s="176" t="str">
        <f>IF((K8="nem fogadja el és tételesen megadja az egyes munkanemek költségét")*AND(H30&lt;&gt;D9),"A Banki ajánlott megosztás helyett tételesen megadott részösszegek összege nem egyezik a megadott összköltséggel","")</f>
        <v/>
      </c>
      <c r="H9" s="176"/>
      <c r="I9" s="176"/>
      <c r="J9" s="176"/>
      <c r="K9" s="73" t="str">
        <f>IF((K8="nem fogadja el és tételesen megadja az egyes munkanemek költségét")*AND(H30&lt;&gt;D9),"Javítani kell a megadott részösszegen, hogy összeadva egyenlő legyen a megadott összköltséggel (F9=H30)","")</f>
        <v/>
      </c>
      <c r="L9" s="28"/>
      <c r="M9" s="28"/>
      <c r="N9" s="28"/>
      <c r="O9" s="28"/>
      <c r="P9" s="28"/>
      <c r="Q9" s="28"/>
    </row>
    <row r="10" spans="2:28" ht="28.5" customHeight="1" thickBot="1" x14ac:dyDescent="0.3">
      <c r="B10" s="27"/>
      <c r="C10" s="74" t="s">
        <v>116</v>
      </c>
      <c r="D10" s="19"/>
      <c r="E10" s="19"/>
      <c r="F10" s="78"/>
      <c r="G10" s="75" t="s">
        <v>117</v>
      </c>
      <c r="H10" s="78"/>
      <c r="I10" s="75" t="s">
        <v>119</v>
      </c>
      <c r="J10" s="76" t="e">
        <f>D9/(F10+(H10*0.5))/1000</f>
        <v>#DIV/0!</v>
      </c>
      <c r="K10" s="77" t="e">
        <f>IF((AND(329.9&lt;J10,J10&lt;=750)),"Fajlagos építési költség a Banki ajánlásnak megfelel","Fajlagos építési költség az ajánlott bruttó 330-750 eFt/nm építési költségtől eltér")</f>
        <v>#DIV/0!</v>
      </c>
      <c r="L10" s="28"/>
      <c r="M10" s="28"/>
      <c r="N10" s="28"/>
      <c r="O10" s="28"/>
      <c r="P10" s="28"/>
      <c r="Q10" s="28"/>
    </row>
    <row r="11" spans="2:28" ht="18.75" customHeight="1" thickBot="1" x14ac:dyDescent="0.3">
      <c r="B11" s="29"/>
      <c r="C11" s="177" t="s">
        <v>43</v>
      </c>
      <c r="D11" s="178"/>
      <c r="E11" s="178"/>
      <c r="F11" s="178"/>
      <c r="G11" s="178"/>
      <c r="H11" s="178"/>
      <c r="I11" s="178"/>
      <c r="J11" s="178"/>
      <c r="K11" s="179"/>
      <c r="L11" s="28"/>
      <c r="M11" s="28"/>
      <c r="N11" s="28"/>
      <c r="O11" s="28"/>
      <c r="P11" s="28"/>
      <c r="Q11" s="28"/>
    </row>
    <row r="12" spans="2:28" ht="73.5" customHeight="1" thickBot="1" x14ac:dyDescent="0.3">
      <c r="B12" s="30"/>
      <c r="C12" s="58" t="s">
        <v>44</v>
      </c>
      <c r="D12" s="59" t="s">
        <v>45</v>
      </c>
      <c r="E12" s="59" t="s">
        <v>46</v>
      </c>
      <c r="F12" s="59" t="s">
        <v>89</v>
      </c>
      <c r="G12" s="60" t="s">
        <v>88</v>
      </c>
      <c r="H12" s="60" t="s">
        <v>92</v>
      </c>
      <c r="I12" s="61" t="s">
        <v>90</v>
      </c>
      <c r="J12" s="60" t="s">
        <v>91</v>
      </c>
      <c r="K12" s="85" t="s">
        <v>159</v>
      </c>
      <c r="L12" s="31"/>
      <c r="M12" s="31" t="s">
        <v>45</v>
      </c>
      <c r="N12" s="31" t="s">
        <v>46</v>
      </c>
      <c r="O12" s="31"/>
      <c r="P12" s="31"/>
      <c r="Q12" s="32"/>
      <c r="R12" s="33"/>
      <c r="S12" s="34"/>
    </row>
    <row r="13" spans="2:28" ht="15.6" x14ac:dyDescent="0.25">
      <c r="B13" s="35" t="s">
        <v>47</v>
      </c>
      <c r="C13" s="62" t="s">
        <v>0</v>
      </c>
      <c r="D13" s="63" t="e">
        <f>VLOOKUP($D$8&amp;B13,'Költségvetés részarányok'!$C$2:$E$81,3,FALSE)</f>
        <v>#N/A</v>
      </c>
      <c r="E13" s="63" t="e">
        <f>VLOOKUP($D$8&amp;B13,'Költségvetés részarányok'!$C$2:$F$81,4,FALSE)</f>
        <v>#N/A</v>
      </c>
      <c r="F13" s="63" t="e">
        <f>VLOOKUP($D$8&amp;B13,'Költségvetés részarányok'!$C$2:$D$81,2,FALSE)</f>
        <v>#N/A</v>
      </c>
      <c r="G13" s="64" t="e">
        <f>$D$9*F13/100</f>
        <v>#N/A</v>
      </c>
      <c r="H13" s="65"/>
      <c r="I13" s="66" t="e">
        <f t="shared" ref="I13:I29" si="0">IF($K$8="nem fogadja el és tételesen megadja az egyes munkanemek költségét",H13,G13)</f>
        <v>#N/A</v>
      </c>
      <c r="J13" s="79" t="e">
        <f t="shared" ref="J13:J29" si="1">I13/IF($K$8="nem fogadja el és tételesen megadja az egyes munkanemek költségét",$H$30,$D$9)*100</f>
        <v>#N/A</v>
      </c>
      <c r="K13" s="67" t="e">
        <f>IF(AND(J13&gt;=D13,J13&lt;=E13),"Elfogadható","Részarány az ajánlott "&amp;D13&amp;"% és "&amp;E13&amp;"%-on kívül van")</f>
        <v>#N/A</v>
      </c>
      <c r="L13" s="34"/>
      <c r="M13" s="11" t="e">
        <f>VLOOKUP($D$8&amp;B13,'Költségvetés részarányok'!$C$2:$E$81,3,FALSE)</f>
        <v>#N/A</v>
      </c>
      <c r="N13" s="11" t="e">
        <f>VLOOKUP($D$8&amp;B13,'Költségvetés részarányok'!$C$2:$F$81,4,FALSE)</f>
        <v>#N/A</v>
      </c>
      <c r="O13" s="34" t="e">
        <f>SEARCH("Elfogadható",K13,1)</f>
        <v>#N/A</v>
      </c>
      <c r="P13" s="12"/>
      <c r="Q13" s="32"/>
      <c r="R13" s="33"/>
      <c r="S13" s="34"/>
      <c r="T13" s="38"/>
    </row>
    <row r="14" spans="2:28" ht="15.6" x14ac:dyDescent="0.25">
      <c r="B14" s="35" t="s">
        <v>48</v>
      </c>
      <c r="C14" s="36" t="s">
        <v>1</v>
      </c>
      <c r="D14" s="13" t="e">
        <f>VLOOKUP($D$8&amp;B14,'Költségvetés részarányok'!$C$2:$E$81,3,FALSE)</f>
        <v>#N/A</v>
      </c>
      <c r="E14" s="13" t="e">
        <f>VLOOKUP($D$8&amp;B14,'Költségvetés részarányok'!$C$2:$F$81,4,FALSE)</f>
        <v>#N/A</v>
      </c>
      <c r="F14" s="13" t="e">
        <f>VLOOKUP($D$8&amp;B14,'Költségvetés részarányok'!$C$2:$D$81,2,FALSE)</f>
        <v>#N/A</v>
      </c>
      <c r="G14" s="18" t="e">
        <f t="shared" ref="G14:G29" si="2">$D$9*F14/100</f>
        <v>#N/A</v>
      </c>
      <c r="H14" s="51"/>
      <c r="I14" s="20" t="e">
        <f t="shared" si="0"/>
        <v>#N/A</v>
      </c>
      <c r="J14" s="80" t="e">
        <f t="shared" si="1"/>
        <v>#N/A</v>
      </c>
      <c r="K14" s="68" t="e">
        <f t="shared" ref="K14:K29" si="3">IF(AND(J14&gt;=D14,J14&lt;=E14),"Elfogadható","Részarány az ajánlott "&amp;D14&amp;"% és "&amp;E14&amp;"%-on kívül van")</f>
        <v>#N/A</v>
      </c>
      <c r="L14" s="34"/>
      <c r="M14" s="11" t="e">
        <f>VLOOKUP($D$8&amp;B14,'Költségvetés részarányok'!$C$2:$E$81,3,FALSE)</f>
        <v>#N/A</v>
      </c>
      <c r="N14" s="11" t="e">
        <f>VLOOKUP($D$8&amp;B14,'Költségvetés részarányok'!$C$2:$F$81,4,FALSE)</f>
        <v>#N/A</v>
      </c>
      <c r="O14" s="34" t="e">
        <f t="shared" ref="O14:O29" si="4">SEARCH("Elfogadható",K14,1)</f>
        <v>#N/A</v>
      </c>
      <c r="P14" s="12"/>
      <c r="Q14" s="32"/>
      <c r="R14" s="39"/>
      <c r="S14" s="40"/>
      <c r="T14" s="38"/>
    </row>
    <row r="15" spans="2:28" ht="15.6" x14ac:dyDescent="0.25">
      <c r="B15" s="35" t="s">
        <v>49</v>
      </c>
      <c r="C15" s="149" t="s">
        <v>166</v>
      </c>
      <c r="D15" s="13" t="e">
        <f>VLOOKUP($D$8&amp;B15,'Költségvetés részarányok'!$C$2:$E$81,3,FALSE)</f>
        <v>#N/A</v>
      </c>
      <c r="E15" s="13" t="e">
        <f>VLOOKUP($D$8&amp;B15,'Költségvetés részarányok'!$C$2:$F$81,4,FALSE)</f>
        <v>#N/A</v>
      </c>
      <c r="F15" s="13" t="e">
        <f>VLOOKUP($D$8&amp;B15,'Költségvetés részarányok'!$C$2:$D$81,2,FALSE)</f>
        <v>#N/A</v>
      </c>
      <c r="G15" s="18" t="e">
        <f t="shared" si="2"/>
        <v>#N/A</v>
      </c>
      <c r="H15" s="51"/>
      <c r="I15" s="20" t="e">
        <f t="shared" si="0"/>
        <v>#N/A</v>
      </c>
      <c r="J15" s="80" t="e">
        <f t="shared" si="1"/>
        <v>#N/A</v>
      </c>
      <c r="K15" s="68" t="e">
        <f t="shared" si="3"/>
        <v>#N/A</v>
      </c>
      <c r="L15" s="34"/>
      <c r="M15" s="11" t="e">
        <f>VLOOKUP($D$8&amp;B15,'Költségvetés részarányok'!$C$2:$E$81,3,FALSE)</f>
        <v>#N/A</v>
      </c>
      <c r="N15" s="11" t="e">
        <f>VLOOKUP($D$8&amp;B15,'Költségvetés részarányok'!$C$2:$F$81,4,FALSE)</f>
        <v>#N/A</v>
      </c>
      <c r="O15" s="34" t="e">
        <f t="shared" si="4"/>
        <v>#N/A</v>
      </c>
      <c r="P15" s="12"/>
      <c r="Q15" s="32"/>
      <c r="R15" s="41"/>
      <c r="S15" s="42"/>
      <c r="T15" s="38"/>
    </row>
    <row r="16" spans="2:28" ht="15.6" x14ac:dyDescent="0.25">
      <c r="B16" s="35" t="s">
        <v>50</v>
      </c>
      <c r="C16" s="36" t="s">
        <v>3</v>
      </c>
      <c r="D16" s="13" t="e">
        <f>VLOOKUP($D$8&amp;B16,'Költségvetés részarányok'!$C$2:$E$81,3,FALSE)</f>
        <v>#N/A</v>
      </c>
      <c r="E16" s="13" t="e">
        <f>VLOOKUP($D$8&amp;B16,'Költségvetés részarányok'!$C$2:$F$81,4,FALSE)</f>
        <v>#N/A</v>
      </c>
      <c r="F16" s="13" t="e">
        <f>VLOOKUP($D$8&amp;B16,'Költségvetés részarányok'!$C$2:$D$81,2,FALSE)</f>
        <v>#N/A</v>
      </c>
      <c r="G16" s="18" t="e">
        <f t="shared" si="2"/>
        <v>#N/A</v>
      </c>
      <c r="H16" s="51"/>
      <c r="I16" s="20" t="e">
        <f t="shared" si="0"/>
        <v>#N/A</v>
      </c>
      <c r="J16" s="80" t="e">
        <f t="shared" si="1"/>
        <v>#N/A</v>
      </c>
      <c r="K16" s="68" t="e">
        <f t="shared" si="3"/>
        <v>#N/A</v>
      </c>
      <c r="L16" s="34"/>
      <c r="M16" s="11" t="e">
        <f>VLOOKUP($D$8&amp;B16,'Költségvetés részarányok'!$C$2:$E$81,3,FALSE)</f>
        <v>#N/A</v>
      </c>
      <c r="N16" s="11" t="e">
        <f>VLOOKUP($D$8&amp;B16,'Költségvetés részarányok'!$C$2:$F$81,4,FALSE)</f>
        <v>#N/A</v>
      </c>
      <c r="O16" s="34" t="e">
        <f t="shared" si="4"/>
        <v>#N/A</v>
      </c>
      <c r="P16" s="12"/>
      <c r="Q16" s="32"/>
      <c r="T16" s="38"/>
    </row>
    <row r="17" spans="2:20" ht="15.6" x14ac:dyDescent="0.25">
      <c r="B17" s="35" t="s">
        <v>51</v>
      </c>
      <c r="C17" s="36" t="s">
        <v>4</v>
      </c>
      <c r="D17" s="13" t="e">
        <f>VLOOKUP($D$8&amp;B17,'Költségvetés részarányok'!$C$2:$E$81,3,FALSE)</f>
        <v>#N/A</v>
      </c>
      <c r="E17" s="13" t="e">
        <f>VLOOKUP($D$8&amp;B17,'Költségvetés részarányok'!$C$2:$F$81,4,FALSE)</f>
        <v>#N/A</v>
      </c>
      <c r="F17" s="13" t="e">
        <f>VLOOKUP($D$8&amp;B17,'Költségvetés részarányok'!$C$2:$D$81,2,FALSE)</f>
        <v>#N/A</v>
      </c>
      <c r="G17" s="18" t="e">
        <f t="shared" si="2"/>
        <v>#N/A</v>
      </c>
      <c r="H17" s="51"/>
      <c r="I17" s="20" t="e">
        <f t="shared" si="0"/>
        <v>#N/A</v>
      </c>
      <c r="J17" s="80" t="e">
        <f t="shared" si="1"/>
        <v>#N/A</v>
      </c>
      <c r="K17" s="68" t="e">
        <f t="shared" si="3"/>
        <v>#N/A</v>
      </c>
      <c r="L17" s="34"/>
      <c r="M17" s="11" t="e">
        <f>VLOOKUP($D$8&amp;B17,'Költségvetés részarányok'!$C$2:$E$81,3,FALSE)</f>
        <v>#N/A</v>
      </c>
      <c r="N17" s="11" t="e">
        <f>VLOOKUP($D$8&amp;B17,'Költségvetés részarányok'!$C$2:$F$81,4,FALSE)</f>
        <v>#N/A</v>
      </c>
      <c r="O17" s="34" t="e">
        <f t="shared" si="4"/>
        <v>#N/A</v>
      </c>
      <c r="P17" s="12"/>
      <c r="Q17" s="32"/>
      <c r="T17" s="38"/>
    </row>
    <row r="18" spans="2:20" ht="15.6" x14ac:dyDescent="0.25">
      <c r="B18" s="35" t="s">
        <v>52</v>
      </c>
      <c r="C18" s="36" t="s">
        <v>5</v>
      </c>
      <c r="D18" s="13" t="e">
        <f>VLOOKUP($D$8&amp;B18,'Költségvetés részarányok'!$C$2:$E$81,3,FALSE)</f>
        <v>#N/A</v>
      </c>
      <c r="E18" s="13" t="e">
        <f>VLOOKUP($D$8&amp;B18,'Költségvetés részarányok'!$C$2:$F$81,4,FALSE)</f>
        <v>#N/A</v>
      </c>
      <c r="F18" s="13" t="e">
        <f>VLOOKUP($D$8&amp;B18,'Költségvetés részarányok'!$C$2:$D$81,2,FALSE)</f>
        <v>#N/A</v>
      </c>
      <c r="G18" s="18" t="e">
        <f t="shared" si="2"/>
        <v>#N/A</v>
      </c>
      <c r="H18" s="51"/>
      <c r="I18" s="20" t="e">
        <f t="shared" si="0"/>
        <v>#N/A</v>
      </c>
      <c r="J18" s="80" t="e">
        <f t="shared" si="1"/>
        <v>#N/A</v>
      </c>
      <c r="K18" s="68" t="e">
        <f t="shared" si="3"/>
        <v>#N/A</v>
      </c>
      <c r="L18" s="34"/>
      <c r="M18" s="11" t="e">
        <f>VLOOKUP($D$8&amp;B18,'Költségvetés részarányok'!$C$2:$E$81,3,FALSE)</f>
        <v>#N/A</v>
      </c>
      <c r="N18" s="11" t="e">
        <f>VLOOKUP($D$8&amp;B18,'Költségvetés részarányok'!$C$2:$F$81,4,FALSE)</f>
        <v>#N/A</v>
      </c>
      <c r="O18" s="34" t="e">
        <f t="shared" si="4"/>
        <v>#N/A</v>
      </c>
      <c r="P18" s="12"/>
      <c r="Q18" s="32"/>
      <c r="T18" s="38"/>
    </row>
    <row r="19" spans="2:20" ht="15.6" x14ac:dyDescent="0.25">
      <c r="B19" s="35" t="s">
        <v>53</v>
      </c>
      <c r="C19" s="36" t="s">
        <v>6</v>
      </c>
      <c r="D19" s="13" t="e">
        <f>VLOOKUP($D$8&amp;B19,'Költségvetés részarányok'!$C$2:$E$81,3,FALSE)</f>
        <v>#N/A</v>
      </c>
      <c r="E19" s="13" t="e">
        <f>VLOOKUP($D$8&amp;B19,'Költségvetés részarányok'!$C$2:$F$81,4,FALSE)</f>
        <v>#N/A</v>
      </c>
      <c r="F19" s="13" t="e">
        <f>VLOOKUP($D$8&amp;B19,'Költségvetés részarányok'!$C$2:$D$81,2,FALSE)</f>
        <v>#N/A</v>
      </c>
      <c r="G19" s="18" t="e">
        <f t="shared" si="2"/>
        <v>#N/A</v>
      </c>
      <c r="H19" s="51"/>
      <c r="I19" s="20" t="e">
        <f t="shared" si="0"/>
        <v>#N/A</v>
      </c>
      <c r="J19" s="80" t="e">
        <f t="shared" si="1"/>
        <v>#N/A</v>
      </c>
      <c r="K19" s="68" t="e">
        <f t="shared" si="3"/>
        <v>#N/A</v>
      </c>
      <c r="L19" s="34"/>
      <c r="M19" s="11" t="e">
        <f>VLOOKUP($D$8&amp;B19,'Költségvetés részarányok'!$C$2:$E$81,3,FALSE)</f>
        <v>#N/A</v>
      </c>
      <c r="N19" s="11" t="e">
        <f>VLOOKUP($D$8&amp;B19,'Költségvetés részarányok'!$C$2:$F$81,4,FALSE)</f>
        <v>#N/A</v>
      </c>
      <c r="O19" s="34" t="e">
        <f t="shared" si="4"/>
        <v>#N/A</v>
      </c>
      <c r="P19" s="12"/>
      <c r="Q19" s="32"/>
      <c r="T19" s="38"/>
    </row>
    <row r="20" spans="2:20" ht="15.6" x14ac:dyDescent="0.25">
      <c r="B20" s="35" t="s">
        <v>54</v>
      </c>
      <c r="C20" s="36" t="s">
        <v>7</v>
      </c>
      <c r="D20" s="13" t="e">
        <f>VLOOKUP($D$8&amp;B20,'Költségvetés részarányok'!$C$2:$E$81,3,FALSE)</f>
        <v>#N/A</v>
      </c>
      <c r="E20" s="13" t="e">
        <f>VLOOKUP($D$8&amp;B20,'Költségvetés részarányok'!$C$2:$F$81,4,FALSE)</f>
        <v>#N/A</v>
      </c>
      <c r="F20" s="13" t="e">
        <f>VLOOKUP($D$8&amp;B20,'Költségvetés részarányok'!$C$2:$D$81,2,FALSE)</f>
        <v>#N/A</v>
      </c>
      <c r="G20" s="18" t="e">
        <f t="shared" si="2"/>
        <v>#N/A</v>
      </c>
      <c r="H20" s="51"/>
      <c r="I20" s="20" t="e">
        <f t="shared" si="0"/>
        <v>#N/A</v>
      </c>
      <c r="J20" s="80" t="e">
        <f t="shared" si="1"/>
        <v>#N/A</v>
      </c>
      <c r="K20" s="68" t="e">
        <f t="shared" si="3"/>
        <v>#N/A</v>
      </c>
      <c r="L20" s="34"/>
      <c r="M20" s="11" t="e">
        <f>VLOOKUP($D$8&amp;B20,'Költségvetés részarányok'!$C$2:$E$81,3,FALSE)</f>
        <v>#N/A</v>
      </c>
      <c r="N20" s="11" t="e">
        <f>VLOOKUP($D$8&amp;B20,'Költségvetés részarányok'!$C$2:$F$81,4,FALSE)</f>
        <v>#N/A</v>
      </c>
      <c r="O20" s="34" t="e">
        <f t="shared" si="4"/>
        <v>#N/A</v>
      </c>
      <c r="P20" s="12"/>
      <c r="Q20" s="32"/>
      <c r="T20" s="38"/>
    </row>
    <row r="21" spans="2:20" ht="15.6" x14ac:dyDescent="0.25">
      <c r="B21" s="35" t="s">
        <v>55</v>
      </c>
      <c r="C21" s="36" t="s">
        <v>8</v>
      </c>
      <c r="D21" s="13" t="e">
        <f>VLOOKUP($D$8&amp;B21,'Költségvetés részarányok'!$C$2:$E$81,3,FALSE)</f>
        <v>#N/A</v>
      </c>
      <c r="E21" s="13" t="e">
        <f>VLOOKUP($D$8&amp;B21,'Költségvetés részarányok'!$C$2:$F$81,4,FALSE)</f>
        <v>#N/A</v>
      </c>
      <c r="F21" s="13" t="e">
        <f>VLOOKUP($D$8&amp;B21,'Költségvetés részarányok'!$C$2:$D$81,2,FALSE)</f>
        <v>#N/A</v>
      </c>
      <c r="G21" s="18" t="e">
        <f t="shared" si="2"/>
        <v>#N/A</v>
      </c>
      <c r="H21" s="51"/>
      <c r="I21" s="20" t="e">
        <f t="shared" si="0"/>
        <v>#N/A</v>
      </c>
      <c r="J21" s="80" t="e">
        <f t="shared" si="1"/>
        <v>#N/A</v>
      </c>
      <c r="K21" s="68" t="e">
        <f t="shared" si="3"/>
        <v>#N/A</v>
      </c>
      <c r="L21" s="34"/>
      <c r="M21" s="11" t="e">
        <f>VLOOKUP($D$8&amp;B21,'Költségvetés részarányok'!$C$2:$E$81,3,FALSE)</f>
        <v>#N/A</v>
      </c>
      <c r="N21" s="11" t="e">
        <f>VLOOKUP($D$8&amp;B21,'Költségvetés részarányok'!$C$2:$F$81,4,FALSE)</f>
        <v>#N/A</v>
      </c>
      <c r="O21" s="34" t="e">
        <f t="shared" si="4"/>
        <v>#N/A</v>
      </c>
      <c r="P21" s="12"/>
      <c r="Q21" s="32"/>
      <c r="T21" s="38"/>
    </row>
    <row r="22" spans="2:20" ht="15.6" x14ac:dyDescent="0.25">
      <c r="B22" s="35" t="s">
        <v>56</v>
      </c>
      <c r="C22" s="36" t="s">
        <v>9</v>
      </c>
      <c r="D22" s="13" t="e">
        <f>VLOOKUP($D$8&amp;B22,'Költségvetés részarányok'!$C$2:$E$81,3,FALSE)</f>
        <v>#N/A</v>
      </c>
      <c r="E22" s="13" t="e">
        <f>VLOOKUP($D$8&amp;B22,'Költségvetés részarányok'!$C$2:$F$81,4,FALSE)</f>
        <v>#N/A</v>
      </c>
      <c r="F22" s="13" t="e">
        <f>VLOOKUP($D$8&amp;B22,'Költségvetés részarányok'!$C$2:$D$81,2,FALSE)</f>
        <v>#N/A</v>
      </c>
      <c r="G22" s="18" t="e">
        <f t="shared" si="2"/>
        <v>#N/A</v>
      </c>
      <c r="H22" s="51"/>
      <c r="I22" s="20" t="e">
        <f t="shared" si="0"/>
        <v>#N/A</v>
      </c>
      <c r="J22" s="80" t="e">
        <f t="shared" si="1"/>
        <v>#N/A</v>
      </c>
      <c r="K22" s="68" t="e">
        <f t="shared" si="3"/>
        <v>#N/A</v>
      </c>
      <c r="L22" s="34"/>
      <c r="M22" s="11" t="e">
        <f>VLOOKUP($D$8&amp;B22,'Költségvetés részarányok'!$C$2:$E$81,3,FALSE)</f>
        <v>#N/A</v>
      </c>
      <c r="N22" s="11" t="e">
        <f>VLOOKUP($D$8&amp;B22,'Költségvetés részarányok'!$C$2:$F$81,4,FALSE)</f>
        <v>#N/A</v>
      </c>
      <c r="O22" s="34" t="e">
        <f t="shared" si="4"/>
        <v>#N/A</v>
      </c>
      <c r="P22" s="12"/>
      <c r="Q22" s="32"/>
      <c r="T22" s="38"/>
    </row>
    <row r="23" spans="2:20" ht="15.6" x14ac:dyDescent="0.25">
      <c r="B23" s="35" t="s">
        <v>57</v>
      </c>
      <c r="C23" s="149" t="s">
        <v>162</v>
      </c>
      <c r="D23" s="13" t="e">
        <f>VLOOKUP($D$8&amp;B23,'Költségvetés részarányok'!$C$2:$E$81,3,FALSE)</f>
        <v>#N/A</v>
      </c>
      <c r="E23" s="13" t="e">
        <f>VLOOKUP($D$8&amp;B23,'Költségvetés részarányok'!$C$2:$F$81,4,FALSE)</f>
        <v>#N/A</v>
      </c>
      <c r="F23" s="13" t="e">
        <f>VLOOKUP($D$8&amp;B23,'Költségvetés részarányok'!$C$2:$D$81,2,FALSE)</f>
        <v>#N/A</v>
      </c>
      <c r="G23" s="18" t="e">
        <f t="shared" si="2"/>
        <v>#N/A</v>
      </c>
      <c r="H23" s="51"/>
      <c r="I23" s="20" t="e">
        <f t="shared" si="0"/>
        <v>#N/A</v>
      </c>
      <c r="J23" s="80" t="e">
        <f t="shared" si="1"/>
        <v>#N/A</v>
      </c>
      <c r="K23" s="68" t="e">
        <f t="shared" si="3"/>
        <v>#N/A</v>
      </c>
      <c r="L23" s="34"/>
      <c r="M23" s="11" t="e">
        <f>VLOOKUP($D$8&amp;B23,'Költségvetés részarányok'!$C$2:$E$81,3,FALSE)</f>
        <v>#N/A</v>
      </c>
      <c r="N23" s="11" t="e">
        <f>VLOOKUP($D$8&amp;B23,'Költségvetés részarányok'!$C$2:$F$81,4,FALSE)</f>
        <v>#N/A</v>
      </c>
      <c r="O23" s="34" t="e">
        <f t="shared" si="4"/>
        <v>#N/A</v>
      </c>
      <c r="P23" s="12"/>
      <c r="Q23" s="32"/>
      <c r="T23" s="38"/>
    </row>
    <row r="24" spans="2:20" ht="15.6" x14ac:dyDescent="0.25">
      <c r="B24" s="35" t="s">
        <v>58</v>
      </c>
      <c r="C24" s="36" t="s">
        <v>11</v>
      </c>
      <c r="D24" s="13" t="e">
        <f>VLOOKUP($D$8&amp;B24,'Költségvetés részarányok'!$C$2:$E$81,3,FALSE)</f>
        <v>#N/A</v>
      </c>
      <c r="E24" s="13" t="e">
        <f>VLOOKUP($D$8&amp;B24,'Költségvetés részarányok'!$C$2:$F$81,4,FALSE)</f>
        <v>#N/A</v>
      </c>
      <c r="F24" s="13" t="e">
        <f>VLOOKUP($D$8&amp;B24,'Költségvetés részarányok'!$C$2:$D$81,2,FALSE)</f>
        <v>#N/A</v>
      </c>
      <c r="G24" s="18" t="e">
        <f t="shared" si="2"/>
        <v>#N/A</v>
      </c>
      <c r="H24" s="51"/>
      <c r="I24" s="20" t="e">
        <f t="shared" si="0"/>
        <v>#N/A</v>
      </c>
      <c r="J24" s="80" t="e">
        <f t="shared" si="1"/>
        <v>#N/A</v>
      </c>
      <c r="K24" s="68" t="e">
        <f t="shared" si="3"/>
        <v>#N/A</v>
      </c>
      <c r="L24" s="34"/>
      <c r="M24" s="11" t="e">
        <f>VLOOKUP($D$8&amp;B24,'Költségvetés részarányok'!$C$2:$E$81,3,FALSE)</f>
        <v>#N/A</v>
      </c>
      <c r="N24" s="11" t="e">
        <f>VLOOKUP($D$8&amp;B24,'Költségvetés részarányok'!$C$2:$F$81,4,FALSE)</f>
        <v>#N/A</v>
      </c>
      <c r="O24" s="34" t="e">
        <f t="shared" si="4"/>
        <v>#N/A</v>
      </c>
      <c r="P24" s="12"/>
      <c r="Q24" s="32"/>
      <c r="T24" s="38"/>
    </row>
    <row r="25" spans="2:20" ht="15.6" x14ac:dyDescent="0.25">
      <c r="B25" s="35" t="s">
        <v>59</v>
      </c>
      <c r="C25" s="149" t="s">
        <v>163</v>
      </c>
      <c r="D25" s="13" t="e">
        <f>VLOOKUP($D$8&amp;B25,'Költségvetés részarányok'!$C$2:$E$81,3,FALSE)</f>
        <v>#N/A</v>
      </c>
      <c r="E25" s="13" t="e">
        <f>VLOOKUP($D$8&amp;B25,'Költségvetés részarányok'!$C$2:$F$81,4,FALSE)</f>
        <v>#N/A</v>
      </c>
      <c r="F25" s="13" t="e">
        <f>VLOOKUP($D$8&amp;B25,'Költségvetés részarányok'!$C$2:$D$81,2,FALSE)</f>
        <v>#N/A</v>
      </c>
      <c r="G25" s="18" t="e">
        <f t="shared" si="2"/>
        <v>#N/A</v>
      </c>
      <c r="H25" s="51"/>
      <c r="I25" s="20" t="e">
        <f t="shared" si="0"/>
        <v>#N/A</v>
      </c>
      <c r="J25" s="80" t="e">
        <f t="shared" si="1"/>
        <v>#N/A</v>
      </c>
      <c r="K25" s="68" t="e">
        <f t="shared" si="3"/>
        <v>#N/A</v>
      </c>
      <c r="L25" s="34"/>
      <c r="M25" s="11" t="e">
        <f>VLOOKUP($D$8&amp;B25,'Költségvetés részarányok'!$C$2:$E$81,3,FALSE)</f>
        <v>#N/A</v>
      </c>
      <c r="N25" s="11" t="e">
        <f>VLOOKUP($D$8&amp;B25,'Költségvetés részarányok'!$C$2:$F$81,4,FALSE)</f>
        <v>#N/A</v>
      </c>
      <c r="O25" s="34" t="e">
        <f t="shared" si="4"/>
        <v>#N/A</v>
      </c>
      <c r="P25" s="12"/>
      <c r="Q25" s="32"/>
      <c r="T25" s="38"/>
    </row>
    <row r="26" spans="2:20" ht="15.6" x14ac:dyDescent="0.25">
      <c r="B26" s="35" t="s">
        <v>60</v>
      </c>
      <c r="C26" s="149" t="s">
        <v>164</v>
      </c>
      <c r="D26" s="13" t="e">
        <f>VLOOKUP($D$8&amp;B26,'Költségvetés részarányok'!$C$2:$E$81,3,FALSE)</f>
        <v>#N/A</v>
      </c>
      <c r="E26" s="13" t="e">
        <f>VLOOKUP($D$8&amp;B26,'Költségvetés részarányok'!$C$2:$F$81,4,FALSE)</f>
        <v>#N/A</v>
      </c>
      <c r="F26" s="13" t="e">
        <f>VLOOKUP($D$8&amp;B26,'Költségvetés részarányok'!$C$2:$D$81,2,FALSE)</f>
        <v>#N/A</v>
      </c>
      <c r="G26" s="18" t="e">
        <f t="shared" si="2"/>
        <v>#N/A</v>
      </c>
      <c r="H26" s="51"/>
      <c r="I26" s="20" t="e">
        <f t="shared" si="0"/>
        <v>#N/A</v>
      </c>
      <c r="J26" s="80" t="e">
        <f t="shared" si="1"/>
        <v>#N/A</v>
      </c>
      <c r="K26" s="68" t="e">
        <f t="shared" si="3"/>
        <v>#N/A</v>
      </c>
      <c r="L26" s="34"/>
      <c r="M26" s="11" t="e">
        <f>VLOOKUP($D$8&amp;B26,'Költségvetés részarányok'!$C$2:$E$81,3,FALSE)</f>
        <v>#N/A</v>
      </c>
      <c r="N26" s="11" t="e">
        <f>VLOOKUP($D$8&amp;B26,'Költségvetés részarányok'!$C$2:$F$81,4,FALSE)</f>
        <v>#N/A</v>
      </c>
      <c r="O26" s="34" t="e">
        <f t="shared" si="4"/>
        <v>#N/A</v>
      </c>
      <c r="P26" s="12"/>
      <c r="Q26" s="32"/>
      <c r="T26" s="38"/>
    </row>
    <row r="27" spans="2:20" ht="15.6" x14ac:dyDescent="0.25">
      <c r="B27" s="35" t="s">
        <v>61</v>
      </c>
      <c r="C27" s="149" t="s">
        <v>165</v>
      </c>
      <c r="D27" s="13" t="e">
        <f>VLOOKUP($D$8&amp;B27,'Költségvetés részarányok'!$C$2:$E$81,3,FALSE)</f>
        <v>#N/A</v>
      </c>
      <c r="E27" s="13" t="e">
        <f>VLOOKUP($D$8&amp;B27,'Költségvetés részarányok'!$C$2:$F$81,4,FALSE)</f>
        <v>#N/A</v>
      </c>
      <c r="F27" s="13" t="e">
        <f>VLOOKUP($D$8&amp;B27,'Költségvetés részarányok'!$C$2:$D$81,2,FALSE)</f>
        <v>#N/A</v>
      </c>
      <c r="G27" s="18" t="e">
        <f t="shared" si="2"/>
        <v>#N/A</v>
      </c>
      <c r="H27" s="51"/>
      <c r="I27" s="20" t="e">
        <f t="shared" si="0"/>
        <v>#N/A</v>
      </c>
      <c r="J27" s="80" t="e">
        <f t="shared" si="1"/>
        <v>#N/A</v>
      </c>
      <c r="K27" s="68" t="e">
        <f t="shared" si="3"/>
        <v>#N/A</v>
      </c>
      <c r="L27" s="34"/>
      <c r="M27" s="11" t="e">
        <f>VLOOKUP($D$8&amp;B27,'Költségvetés részarányok'!$C$2:$E$81,3,FALSE)</f>
        <v>#N/A</v>
      </c>
      <c r="N27" s="11" t="e">
        <f>VLOOKUP($D$8&amp;B27,'Költségvetés részarányok'!$C$2:$F$81,4,FALSE)</f>
        <v>#N/A</v>
      </c>
      <c r="O27" s="34" t="e">
        <f t="shared" si="4"/>
        <v>#N/A</v>
      </c>
      <c r="P27" s="12"/>
      <c r="Q27" s="32"/>
      <c r="T27" s="38"/>
    </row>
    <row r="28" spans="2:20" ht="15.6" x14ac:dyDescent="0.25">
      <c r="B28" s="35" t="s">
        <v>62</v>
      </c>
      <c r="C28" s="36" t="s">
        <v>15</v>
      </c>
      <c r="D28" s="13" t="e">
        <f>VLOOKUP($D$8&amp;B28,'Költségvetés részarányok'!$C$2:$E$81,3,FALSE)</f>
        <v>#N/A</v>
      </c>
      <c r="E28" s="13" t="e">
        <f>VLOOKUP($D$8&amp;B28,'Költségvetés részarányok'!$C$2:$F$81,4,FALSE)</f>
        <v>#N/A</v>
      </c>
      <c r="F28" s="13" t="e">
        <f>VLOOKUP($D$8&amp;B28,'Költségvetés részarányok'!$C$2:$D$81,2,FALSE)</f>
        <v>#N/A</v>
      </c>
      <c r="G28" s="18" t="e">
        <f t="shared" si="2"/>
        <v>#N/A</v>
      </c>
      <c r="H28" s="51"/>
      <c r="I28" s="20" t="e">
        <f t="shared" si="0"/>
        <v>#N/A</v>
      </c>
      <c r="J28" s="80" t="e">
        <f t="shared" si="1"/>
        <v>#N/A</v>
      </c>
      <c r="K28" s="68" t="e">
        <f t="shared" si="3"/>
        <v>#N/A</v>
      </c>
      <c r="L28" s="34"/>
      <c r="M28" s="11" t="e">
        <f>VLOOKUP($D$8&amp;B28,'Költségvetés részarányok'!$C$2:$E$81,3,FALSE)</f>
        <v>#N/A</v>
      </c>
      <c r="N28" s="11" t="e">
        <f>VLOOKUP($D$8&amp;B28,'Költségvetés részarányok'!$C$2:$F$81,4,FALSE)</f>
        <v>#N/A</v>
      </c>
      <c r="O28" s="34" t="e">
        <f t="shared" si="4"/>
        <v>#N/A</v>
      </c>
      <c r="P28" s="12"/>
      <c r="Q28" s="32"/>
      <c r="T28" s="38"/>
    </row>
    <row r="29" spans="2:20" ht="16.2" thickBot="1" x14ac:dyDescent="0.3">
      <c r="B29" s="35" t="s">
        <v>63</v>
      </c>
      <c r="C29" s="43" t="s">
        <v>123</v>
      </c>
      <c r="D29" s="14">
        <v>0</v>
      </c>
      <c r="E29" s="14">
        <v>10</v>
      </c>
      <c r="F29" s="14">
        <v>0</v>
      </c>
      <c r="G29" s="19">
        <f t="shared" si="2"/>
        <v>0</v>
      </c>
      <c r="H29" s="52">
        <v>0</v>
      </c>
      <c r="I29" s="21">
        <f t="shared" si="0"/>
        <v>0</v>
      </c>
      <c r="J29" s="81" t="e">
        <f t="shared" si="1"/>
        <v>#DIV/0!</v>
      </c>
      <c r="K29" s="37" t="e">
        <f t="shared" si="3"/>
        <v>#DIV/0!</v>
      </c>
      <c r="L29" s="34"/>
      <c r="M29" s="11">
        <v>0</v>
      </c>
      <c r="N29" s="11">
        <v>10</v>
      </c>
      <c r="O29" s="34" t="e">
        <f t="shared" si="4"/>
        <v>#DIV/0!</v>
      </c>
      <c r="P29" s="12"/>
      <c r="Q29" s="32"/>
      <c r="T29" s="38"/>
    </row>
    <row r="30" spans="2:20" ht="13.8" thickBot="1" x14ac:dyDescent="0.3">
      <c r="B30" s="44"/>
      <c r="C30" s="55" t="s">
        <v>17</v>
      </c>
      <c r="D30" s="25"/>
      <c r="E30" s="25"/>
      <c r="F30" s="56" t="e">
        <f>SUM(F13:F29)</f>
        <v>#N/A</v>
      </c>
      <c r="G30" s="22"/>
      <c r="H30" s="57">
        <f>SUM(H13:H29)</f>
        <v>0</v>
      </c>
      <c r="I30" s="28"/>
      <c r="J30" s="28"/>
      <c r="K30" s="28"/>
      <c r="L30" s="28"/>
      <c r="M30" s="28"/>
      <c r="N30" s="28"/>
      <c r="O30" s="28" t="e">
        <f>SUM(O13:O29)</f>
        <v>#N/A</v>
      </c>
      <c r="P30" s="28"/>
      <c r="Q30" s="28"/>
    </row>
    <row r="31" spans="2:20" ht="51.75" customHeight="1" thickBot="1" x14ac:dyDescent="0.3">
      <c r="B31" s="44"/>
      <c r="C31" s="164" t="s">
        <v>115</v>
      </c>
      <c r="D31" s="165"/>
      <c r="E31" s="165"/>
      <c r="F31" s="165"/>
      <c r="G31" s="165"/>
      <c r="H31" s="165"/>
      <c r="I31" s="45" t="s">
        <v>111</v>
      </c>
      <c r="J31" s="45" t="s">
        <v>112</v>
      </c>
      <c r="K31" s="46" t="s">
        <v>113</v>
      </c>
      <c r="L31" s="28"/>
      <c r="M31" s="28"/>
      <c r="N31" s="28"/>
      <c r="O31" s="28">
        <f>IFERROR(O30,0)</f>
        <v>0</v>
      </c>
      <c r="P31" s="28"/>
      <c r="Q31" s="28"/>
    </row>
    <row r="32" spans="2:20" ht="40.5" customHeight="1" thickBot="1" x14ac:dyDescent="0.3">
      <c r="C32" s="53" t="s">
        <v>114</v>
      </c>
      <c r="D32" s="54"/>
      <c r="E32" s="54"/>
      <c r="F32" s="172" t="str">
        <f>IF(OR(F6="",J6=""),"Az építési engedélyezési eljárás típusa vagy az engedély/bejelentés dátuma nem lett kitöltve!",IF(#REF!="Teljes a dokumentáció","A szakértés elkészítéséhez szükséges építéssel kapcsolatos dokumentumok rendelkezésre állnak.","Nem áll rendelkezésre a szakértés elkészítéséhez szükséges összes dokumentum."))&amp;" "&amp;C7&amp;" "&amp;F7&amp;"."&amp;" "&amp;"Épületszerkezet szerint "&amp;J7&amp;"."</f>
        <v>Az építési engedélyezési eljárás típusa vagy az engedély/bejelentés dátuma nem lett kitöltve! Épületszerkezet: . Épületszerkezet szerint .</v>
      </c>
      <c r="G32" s="172"/>
      <c r="H32" s="172"/>
      <c r="I32" s="172"/>
      <c r="J32" s="172"/>
      <c r="K32" s="173"/>
    </row>
    <row r="33" spans="3:11" ht="93" customHeight="1" thickBot="1" x14ac:dyDescent="0.3">
      <c r="C33" s="53" t="s">
        <v>169</v>
      </c>
      <c r="F33" s="170"/>
      <c r="G33" s="170"/>
      <c r="H33" s="170"/>
      <c r="I33" s="170"/>
      <c r="J33" s="170"/>
      <c r="K33" s="171"/>
    </row>
    <row r="36" spans="3:11" ht="12.75" customHeight="1" x14ac:dyDescent="0.25"/>
    <row r="40" spans="3:11" ht="12.75" customHeight="1" x14ac:dyDescent="0.25"/>
    <row r="43" spans="3:11" ht="12.75" customHeight="1" x14ac:dyDescent="0.25"/>
    <row r="49" ht="12.75" customHeight="1" x14ac:dyDescent="0.25"/>
    <row r="53" ht="12.75" customHeight="1" x14ac:dyDescent="0.25"/>
    <row r="57" ht="12.75" customHeight="1" x14ac:dyDescent="0.25"/>
    <row r="62" ht="12.75" customHeight="1" x14ac:dyDescent="0.25"/>
    <row r="64" ht="12.75" customHeight="1" x14ac:dyDescent="0.25"/>
    <row r="68" ht="12.75" customHeight="1" x14ac:dyDescent="0.25"/>
    <row r="73" ht="12.75" customHeight="1" x14ac:dyDescent="0.25"/>
    <row r="80" ht="12.75" customHeight="1" x14ac:dyDescent="0.25"/>
    <row r="86" ht="12.75" customHeight="1" x14ac:dyDescent="0.25"/>
    <row r="89" ht="12.75" customHeight="1" x14ac:dyDescent="0.25"/>
  </sheetData>
  <sheetProtection algorithmName="SHA-512" hashValue="mg7inyL+Kh14mxo1cvN4TvN6z8lp9XbuGnbsKO2FR2jagbWrf7CxIAyuF741RZ6Wulft+HvkhdD732yFRsf1Lg==" saltValue="xaZxbCtaB0CaoBYN1KbL+g==" spinCount="100000" sheet="1" objects="1" scenarios="1"/>
  <mergeCells count="22">
    <mergeCell ref="C31:H31"/>
    <mergeCell ref="J6:K6"/>
    <mergeCell ref="G7:I7"/>
    <mergeCell ref="J7:K7"/>
    <mergeCell ref="F33:K33"/>
    <mergeCell ref="F32:K32"/>
    <mergeCell ref="C6:E6"/>
    <mergeCell ref="G6:I6"/>
    <mergeCell ref="G9:J9"/>
    <mergeCell ref="G8:J8"/>
    <mergeCell ref="C11:K11"/>
    <mergeCell ref="D8:F8"/>
    <mergeCell ref="D9:F9"/>
    <mergeCell ref="C1:K1"/>
    <mergeCell ref="B3:F3"/>
    <mergeCell ref="D4:F4"/>
    <mergeCell ref="D5:F5"/>
    <mergeCell ref="G4:I4"/>
    <mergeCell ref="G5:I5"/>
    <mergeCell ref="J4:K4"/>
    <mergeCell ref="J5:K5"/>
    <mergeCell ref="F2:J2"/>
  </mergeCells>
  <conditionalFormatting sqref="H13:H29">
    <cfRule type="expression" dxfId="25" priority="14">
      <formula>$K$8="nem fogadja el és tételesen megadja az egyes munkanemek költségét"</formula>
    </cfRule>
  </conditionalFormatting>
  <conditionalFormatting sqref="H30">
    <cfRule type="cellIs" dxfId="24" priority="13" operator="equal">
      <formula>0</formula>
    </cfRule>
  </conditionalFormatting>
  <conditionalFormatting sqref="J6:K6">
    <cfRule type="expression" dxfId="23" priority="12">
      <formula>$F$6&lt;&gt;"nem engedélyköteles"</formula>
    </cfRule>
  </conditionalFormatting>
  <conditionalFormatting sqref="K29">
    <cfRule type="containsText" dxfId="22" priority="11" operator="containsText" text="Elfogadható">
      <formula>NOT(ISERROR(SEARCH("Elfogadható",K29)))</formula>
    </cfRule>
    <cfRule type="containsText" dxfId="21" priority="9" operator="containsText" text="kívül van">
      <formula>NOT(ISERROR(SEARCH("kívül van",K29)))</formula>
    </cfRule>
  </conditionalFormatting>
  <conditionalFormatting sqref="K13:K28">
    <cfRule type="containsText" dxfId="20" priority="7" operator="containsText" text="kívül van">
      <formula>NOT(ISERROR(SEARCH("kívül van",K13)))</formula>
    </cfRule>
    <cfRule type="containsText" dxfId="19" priority="8" operator="containsText" text="Elfogadható">
      <formula>NOT(ISERROR(SEARCH("Elfogadható",K13)))</formula>
    </cfRule>
  </conditionalFormatting>
  <conditionalFormatting sqref="K10">
    <cfRule type="containsText" dxfId="18" priority="6" operator="containsText" text="eltér">
      <formula>NOT(ISERROR(SEARCH("eltér",K10)))</formula>
    </cfRule>
    <cfRule type="containsText" dxfId="17" priority="5" operator="containsText" text="megfelel">
      <formula>NOT(ISERROR(SEARCH("megfelel",K10)))</formula>
    </cfRule>
  </conditionalFormatting>
  <conditionalFormatting sqref="H12">
    <cfRule type="expression" dxfId="16" priority="4">
      <formula>$K$8="igen- elfogadja a javasolt tételeket"</formula>
    </cfRule>
  </conditionalFormatting>
  <conditionalFormatting sqref="F33:K33">
    <cfRule type="expression" dxfId="15" priority="3">
      <formula>$H$29&gt;0</formula>
    </cfRule>
  </conditionalFormatting>
  <conditionalFormatting sqref="C33">
    <cfRule type="expression" dxfId="14" priority="1">
      <formula>$O$31=0</formula>
    </cfRule>
  </conditionalFormatting>
  <dataValidations count="13">
    <dataValidation type="list" allowBlank="1" showInputMessage="1" showErrorMessage="1" sqref="IO65536:IQ65536 IO8:IQ8 D65536:F65536" xr:uid="{00000000-0002-0000-0100-000000000000}">
      <formula1>"földszint+magastető,földszint+tetőtér beépítés,pinceszint+földszint+tetőtér beépítés,tetőtér beépítés,pinceszint+földszint"</formula1>
    </dataValidation>
    <dataValidation type="custom" allowBlank="1" showInputMessage="1" showErrorMessage="1" sqref="IP13:IP30" xr:uid="{00000000-0002-0000-0100-000001000000}">
      <formula1>$G$30&lt;=100</formula1>
    </dataValidation>
    <dataValidation type="custom" allowBlank="1" showInputMessage="1" showErrorMessage="1" sqref="IR13:IR29" xr:uid="{00000000-0002-0000-0100-000002000000}">
      <formula1>IR13&lt;=100</formula1>
    </dataValidation>
    <dataValidation type="list" allowBlank="1" showInputMessage="1" showErrorMessage="1" sqref="K8" xr:uid="{00000000-0002-0000-0100-000003000000}">
      <formula1>"igen- elfogadja a javasolt tételeket,nem fogadja el és tételesen megadja az egyes munkanemek költségét"</formula1>
    </dataValidation>
    <dataValidation type="list" allowBlank="1" showInputMessage="1" showErrorMessage="1" sqref="D7:E7" xr:uid="{00000000-0002-0000-0100-000004000000}">
      <formula1>"építés,bővítés,felújítás/korszerűsítés"</formula1>
    </dataValidation>
    <dataValidation type="list" allowBlank="1" showInputMessage="1" showErrorMessage="1" sqref="F6" xr:uid="{00000000-0002-0000-0100-000005000000}">
      <formula1>"engedélyköteles,egyszerű bejelentéses,nem engedélyköteles"</formula1>
    </dataValidation>
    <dataValidation type="list" allowBlank="1" showInputMessage="1" showErrorMessage="1" sqref="F7" xr:uid="{00000000-0002-0000-0100-000006000000}">
      <formula1>"könnyűszerkezetes - fa,könnyűszerkezetes - fém,nem könnyűszerkezetes"</formula1>
    </dataValidation>
    <dataValidation type="list" allowBlank="1" showInputMessage="1" showErrorMessage="1" sqref="J7:K7" xr:uid="{00000000-0002-0000-0100-000007000000}">
      <formula1>"egylakásos ingatlan - egy lakóegység egy telken (ÖNÁLLÓ), egylakásos ingatlan – ikerház/sorház ÖNÁLLÓ épületszerkezettel,többlakásos ingatlan egyik egysége – ikerház/sorház KÖZÖS épületszerkezettel"</formula1>
    </dataValidation>
    <dataValidation type="list" allowBlank="1" showInputMessage="1" showErrorMessage="1" sqref="D8:F8" xr:uid="{00000000-0002-0000-0100-000008000000}">
      <formula1>"földszintes,földszint+emelet/tetőtér,pinceszint+földszint+emelet/tetőtér,pinceszint+földszint,tetőtér beépítés / emelet ráépítés"</formula1>
    </dataValidation>
    <dataValidation type="list" allowBlank="1" showInputMessage="1" showErrorMessage="1" sqref="D5:F5" xr:uid="{00000000-0002-0000-0100-000009000000}">
      <formula1>"építés,bővítés"</formula1>
    </dataValidation>
    <dataValidation type="date" operator="lessThanOrEqual" allowBlank="1" showInputMessage="1" showErrorMessage="1" errorTitle="Csak dátum írható" error="jövőbeni dátum nem írható" promptTitle="Csak dátum írható ide" prompt="jövőbeni dátum nem írható" sqref="J6:K6" xr:uid="{00000000-0002-0000-0100-00000A000000}">
      <formula1>TODAY()</formula1>
    </dataValidation>
    <dataValidation type="whole" operator="greaterThanOrEqual" allowBlank="1" showInputMessage="1" showErrorMessage="1" sqref="H13:H29" xr:uid="{00000000-0002-0000-0100-00000B000000}">
      <formula1>0</formula1>
    </dataValidation>
    <dataValidation type="decimal" operator="greaterThanOrEqual" allowBlank="1" showInputMessage="1" showErrorMessage="1" sqref="F10 H10 D9:F9" xr:uid="{00000000-0002-0000-0100-00000C000000}">
      <formula1>0</formula1>
    </dataValidation>
  </dataValidations>
  <printOptions horizontalCentered="1" verticalCentered="1"/>
  <pageMargins left="0.23622047244094491" right="0.23622047244094491" top="0.27750000000000002" bottom="0.74803149606299213" header="0.31496062992125984" footer="0.31496062992125984"/>
  <pageSetup paperSize="9" scale="69" orientation="landscape" r:id="rId1"/>
  <headerFooter alignWithMargins="0">
    <oddFooter>&amp;LErste Bank Hungary Zrt./ Erste lakástakarték Zrt. / Erste Jelzálogbank Zrt.&amp;CKöltségvetés - Építés/ Bővítés&amp;R&amp;F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6" filterMode="1"/>
  <dimension ref="A1:L81"/>
  <sheetViews>
    <sheetView zoomScale="130" zoomScaleNormal="130" workbookViewId="0">
      <selection activeCell="D15" sqref="D15"/>
    </sheetView>
  </sheetViews>
  <sheetFormatPr defaultColWidth="9.109375" defaultRowHeight="13.2" x14ac:dyDescent="0.25"/>
  <cols>
    <col min="1" max="1" width="32.109375" style="9" bestFit="1" customWidth="1"/>
    <col min="2" max="2" width="9.109375" style="9"/>
    <col min="3" max="3" width="33.88671875" style="9" bestFit="1" customWidth="1"/>
    <col min="4" max="8" width="9.109375" style="9"/>
    <col min="9" max="9" width="3.5546875" style="9" customWidth="1"/>
    <col min="10" max="10" width="40.6640625" style="9" bestFit="1" customWidth="1"/>
    <col min="11" max="11" width="18" style="9" bestFit="1" customWidth="1"/>
    <col min="12" max="16384" width="9.109375" style="9"/>
  </cols>
  <sheetData>
    <row r="1" spans="1:12" x14ac:dyDescent="0.25">
      <c r="A1" s="15" t="s">
        <v>64</v>
      </c>
      <c r="B1" s="15" t="s">
        <v>65</v>
      </c>
      <c r="C1" s="15" t="s">
        <v>66</v>
      </c>
      <c r="D1" s="15" t="s">
        <v>67</v>
      </c>
      <c r="E1" s="15" t="s">
        <v>68</v>
      </c>
      <c r="F1" s="15" t="s">
        <v>69</v>
      </c>
      <c r="K1" s="10" t="s">
        <v>70</v>
      </c>
    </row>
    <row r="2" spans="1:12" hidden="1" x14ac:dyDescent="0.25">
      <c r="A2" s="145" t="s">
        <v>108</v>
      </c>
      <c r="B2" s="146" t="s">
        <v>47</v>
      </c>
      <c r="C2" s="147" t="str">
        <f>A2&amp;B2</f>
        <v>földszintes1.</v>
      </c>
      <c r="D2" s="9">
        <v>1.6</v>
      </c>
      <c r="E2" s="9">
        <f>ROUND(D2*0.8,1)</f>
        <v>1.3</v>
      </c>
      <c r="F2" s="9">
        <f>ROUND(D2*1.2,1)</f>
        <v>1.9</v>
      </c>
      <c r="I2" s="16" t="s">
        <v>47</v>
      </c>
      <c r="J2" s="17" t="s">
        <v>71</v>
      </c>
      <c r="K2" s="10" t="str">
        <f>A2</f>
        <v>földszintes</v>
      </c>
    </row>
    <row r="3" spans="1:12" hidden="1" x14ac:dyDescent="0.25">
      <c r="A3" s="145" t="s">
        <v>108</v>
      </c>
      <c r="B3" s="146" t="s">
        <v>48</v>
      </c>
      <c r="C3" s="147" t="str">
        <f t="shared" ref="C3:C66" si="0">A3&amp;B3</f>
        <v>földszintes2.</v>
      </c>
      <c r="D3" s="9">
        <v>3.8</v>
      </c>
      <c r="E3" s="9">
        <f t="shared" ref="E3:E68" si="1">ROUND(D3*0.8,1)</f>
        <v>3</v>
      </c>
      <c r="F3" s="9">
        <f t="shared" ref="F3:F66" si="2">ROUND(D3*1.2,1)</f>
        <v>4.5999999999999996</v>
      </c>
      <c r="I3" s="16" t="s">
        <v>48</v>
      </c>
      <c r="J3" s="17" t="s">
        <v>72</v>
      </c>
      <c r="K3" s="9" t="str">
        <f>A34</f>
        <v>földszint+emelet/tetőtér</v>
      </c>
    </row>
    <row r="4" spans="1:12" hidden="1" x14ac:dyDescent="0.25">
      <c r="A4" s="145" t="s">
        <v>108</v>
      </c>
      <c r="B4" s="146" t="s">
        <v>49</v>
      </c>
      <c r="C4" s="147" t="str">
        <f t="shared" si="0"/>
        <v>földszintes3.</v>
      </c>
      <c r="D4" s="9">
        <v>16</v>
      </c>
      <c r="E4" s="9">
        <f t="shared" si="1"/>
        <v>12.8</v>
      </c>
      <c r="F4" s="9">
        <f t="shared" si="2"/>
        <v>19.2</v>
      </c>
      <c r="I4" s="16" t="s">
        <v>49</v>
      </c>
      <c r="J4" s="17" t="s">
        <v>73</v>
      </c>
      <c r="K4" s="9" t="str">
        <f>A50</f>
        <v>pinceszint+földszint+emelet/tetőtér</v>
      </c>
    </row>
    <row r="5" spans="1:12" hidden="1" x14ac:dyDescent="0.25">
      <c r="A5" s="145" t="s">
        <v>108</v>
      </c>
      <c r="B5" s="146" t="s">
        <v>50</v>
      </c>
      <c r="C5" s="147" t="str">
        <f t="shared" si="0"/>
        <v>földszintes4.</v>
      </c>
      <c r="D5" s="9">
        <v>11.1</v>
      </c>
      <c r="E5" s="9">
        <f t="shared" si="1"/>
        <v>8.9</v>
      </c>
      <c r="F5" s="9">
        <f t="shared" si="2"/>
        <v>13.3</v>
      </c>
      <c r="I5" s="16" t="s">
        <v>50</v>
      </c>
      <c r="J5" s="17" t="s">
        <v>74</v>
      </c>
      <c r="K5" s="9" t="str">
        <f>A66</f>
        <v>tetőtér beépítés / emelet ráépítés</v>
      </c>
    </row>
    <row r="6" spans="1:12" hidden="1" x14ac:dyDescent="0.25">
      <c r="A6" s="145" t="s">
        <v>108</v>
      </c>
      <c r="B6" s="146" t="s">
        <v>51</v>
      </c>
      <c r="C6" s="147" t="str">
        <f t="shared" si="0"/>
        <v>földszintes5.</v>
      </c>
      <c r="D6" s="9">
        <v>12.5</v>
      </c>
      <c r="E6" s="9">
        <f t="shared" si="1"/>
        <v>10</v>
      </c>
      <c r="F6" s="9">
        <f t="shared" si="2"/>
        <v>15</v>
      </c>
      <c r="I6" s="16" t="s">
        <v>51</v>
      </c>
      <c r="J6" s="17" t="s">
        <v>75</v>
      </c>
      <c r="K6" s="9" t="str">
        <f>A18</f>
        <v>pinceszint+földszint</v>
      </c>
      <c r="L6" s="10"/>
    </row>
    <row r="7" spans="1:12" hidden="1" x14ac:dyDescent="0.25">
      <c r="A7" s="145" t="s">
        <v>108</v>
      </c>
      <c r="B7" s="146" t="s">
        <v>52</v>
      </c>
      <c r="C7" s="147" t="str">
        <f t="shared" si="0"/>
        <v>földszintes6.</v>
      </c>
      <c r="D7" s="9">
        <v>4.0999999999999996</v>
      </c>
      <c r="E7" s="9">
        <f t="shared" si="1"/>
        <v>3.3</v>
      </c>
      <c r="F7" s="9">
        <f t="shared" si="2"/>
        <v>4.9000000000000004</v>
      </c>
      <c r="I7" s="16" t="s">
        <v>52</v>
      </c>
      <c r="J7" s="17" t="s">
        <v>76</v>
      </c>
    </row>
    <row r="8" spans="1:12" hidden="1" x14ac:dyDescent="0.25">
      <c r="A8" s="145" t="s">
        <v>108</v>
      </c>
      <c r="B8" s="146" t="s">
        <v>53</v>
      </c>
      <c r="C8" s="147" t="str">
        <f t="shared" si="0"/>
        <v>földszintes7.</v>
      </c>
      <c r="D8" s="9">
        <v>4</v>
      </c>
      <c r="E8" s="9">
        <f t="shared" si="1"/>
        <v>3.2</v>
      </c>
      <c r="F8" s="9">
        <f t="shared" si="2"/>
        <v>4.8</v>
      </c>
      <c r="I8" s="16" t="s">
        <v>53</v>
      </c>
      <c r="J8" s="17" t="s">
        <v>77</v>
      </c>
    </row>
    <row r="9" spans="1:12" hidden="1" x14ac:dyDescent="0.25">
      <c r="A9" s="145" t="s">
        <v>108</v>
      </c>
      <c r="B9" s="146" t="s">
        <v>54</v>
      </c>
      <c r="C9" s="147" t="str">
        <f t="shared" si="0"/>
        <v>földszintes8.</v>
      </c>
      <c r="D9" s="9">
        <v>6.2</v>
      </c>
      <c r="E9" s="9">
        <f t="shared" si="1"/>
        <v>5</v>
      </c>
      <c r="F9" s="9">
        <f t="shared" si="2"/>
        <v>7.4</v>
      </c>
      <c r="I9" s="16" t="s">
        <v>54</v>
      </c>
      <c r="J9" s="17" t="s">
        <v>78</v>
      </c>
    </row>
    <row r="10" spans="1:12" hidden="1" x14ac:dyDescent="0.25">
      <c r="A10" s="145" t="s">
        <v>108</v>
      </c>
      <c r="B10" s="146" t="s">
        <v>55</v>
      </c>
      <c r="C10" s="147" t="str">
        <f t="shared" si="0"/>
        <v>földszintes9.</v>
      </c>
      <c r="D10" s="9">
        <v>8.3000000000000007</v>
      </c>
      <c r="E10" s="9">
        <f t="shared" si="1"/>
        <v>6.6</v>
      </c>
      <c r="F10" s="9">
        <f t="shared" si="2"/>
        <v>10</v>
      </c>
      <c r="I10" s="16" t="s">
        <v>55</v>
      </c>
      <c r="J10" s="17" t="s">
        <v>79</v>
      </c>
    </row>
    <row r="11" spans="1:12" hidden="1" x14ac:dyDescent="0.25">
      <c r="A11" s="145" t="s">
        <v>108</v>
      </c>
      <c r="B11" s="146" t="s">
        <v>56</v>
      </c>
      <c r="C11" s="147" t="str">
        <f t="shared" si="0"/>
        <v>földszintes10.</v>
      </c>
      <c r="D11" s="9">
        <v>9.3000000000000007</v>
      </c>
      <c r="E11" s="9">
        <f t="shared" si="1"/>
        <v>7.4</v>
      </c>
      <c r="F11" s="9">
        <f t="shared" si="2"/>
        <v>11.2</v>
      </c>
      <c r="I11" s="16" t="s">
        <v>56</v>
      </c>
      <c r="J11" s="17" t="s">
        <v>80</v>
      </c>
    </row>
    <row r="12" spans="1:12" hidden="1" x14ac:dyDescent="0.25">
      <c r="A12" s="145" t="s">
        <v>108</v>
      </c>
      <c r="B12" s="146" t="s">
        <v>57</v>
      </c>
      <c r="C12" s="147" t="str">
        <f t="shared" si="0"/>
        <v>földszintes11.</v>
      </c>
      <c r="D12" s="9">
        <v>2.6</v>
      </c>
      <c r="E12" s="9">
        <f t="shared" si="1"/>
        <v>2.1</v>
      </c>
      <c r="F12" s="9">
        <f t="shared" si="2"/>
        <v>3.1</v>
      </c>
      <c r="I12" s="16" t="s">
        <v>57</v>
      </c>
      <c r="J12" s="17" t="s">
        <v>81</v>
      </c>
    </row>
    <row r="13" spans="1:12" hidden="1" x14ac:dyDescent="0.25">
      <c r="A13" s="145" t="s">
        <v>108</v>
      </c>
      <c r="B13" s="146" t="s">
        <v>58</v>
      </c>
      <c r="C13" s="147" t="str">
        <f t="shared" si="0"/>
        <v>földszintes12.</v>
      </c>
      <c r="D13" s="9">
        <v>1.9</v>
      </c>
      <c r="E13" s="9">
        <f t="shared" si="1"/>
        <v>1.5</v>
      </c>
      <c r="F13" s="9">
        <f t="shared" si="2"/>
        <v>2.2999999999999998</v>
      </c>
      <c r="I13" s="16" t="s">
        <v>58</v>
      </c>
      <c r="J13" s="17" t="s">
        <v>82</v>
      </c>
    </row>
    <row r="14" spans="1:12" hidden="1" x14ac:dyDescent="0.25">
      <c r="A14" s="145" t="s">
        <v>108</v>
      </c>
      <c r="B14" s="146" t="s">
        <v>59</v>
      </c>
      <c r="C14" s="147" t="str">
        <f t="shared" si="0"/>
        <v>földszintes13.</v>
      </c>
      <c r="D14" s="9">
        <v>5.2</v>
      </c>
      <c r="E14" s="148">
        <f>ROUND(D14*0.6,1)</f>
        <v>3.1</v>
      </c>
      <c r="F14" s="9">
        <f t="shared" si="2"/>
        <v>6.2</v>
      </c>
      <c r="I14" s="16" t="s">
        <v>59</v>
      </c>
      <c r="J14" s="17" t="s">
        <v>83</v>
      </c>
    </row>
    <row r="15" spans="1:12" x14ac:dyDescent="0.25">
      <c r="A15" s="145" t="s">
        <v>108</v>
      </c>
      <c r="B15" s="146" t="s">
        <v>60</v>
      </c>
      <c r="C15" s="147" t="str">
        <f t="shared" si="0"/>
        <v>földszintes14.</v>
      </c>
      <c r="D15" s="9">
        <v>6.2</v>
      </c>
      <c r="E15" s="9">
        <f t="shared" si="1"/>
        <v>5</v>
      </c>
      <c r="F15" s="148">
        <f>ROUND(D15*1.5,1)</f>
        <v>9.3000000000000007</v>
      </c>
      <c r="I15" s="16" t="s">
        <v>60</v>
      </c>
      <c r="J15" s="17" t="s">
        <v>84</v>
      </c>
    </row>
    <row r="16" spans="1:12" x14ac:dyDescent="0.25">
      <c r="A16" s="145" t="s">
        <v>108</v>
      </c>
      <c r="B16" s="146" t="s">
        <v>61</v>
      </c>
      <c r="C16" s="147" t="str">
        <f t="shared" si="0"/>
        <v>földszintes15.</v>
      </c>
      <c r="D16" s="9">
        <v>5.0999999999999996</v>
      </c>
      <c r="E16" s="9">
        <f t="shared" si="1"/>
        <v>4.0999999999999996</v>
      </c>
      <c r="F16" s="148">
        <f>ROUND(D16*1.5,1)</f>
        <v>7.7</v>
      </c>
      <c r="I16" s="16" t="s">
        <v>61</v>
      </c>
      <c r="J16" s="17" t="s">
        <v>85</v>
      </c>
    </row>
    <row r="17" spans="1:10" hidden="1" x14ac:dyDescent="0.25">
      <c r="A17" s="145" t="s">
        <v>108</v>
      </c>
      <c r="B17" s="146" t="s">
        <v>62</v>
      </c>
      <c r="C17" s="147" t="str">
        <f t="shared" si="0"/>
        <v>földszintes16.</v>
      </c>
      <c r="D17" s="9">
        <v>2.1</v>
      </c>
      <c r="E17" s="9">
        <f t="shared" si="1"/>
        <v>1.7</v>
      </c>
      <c r="F17" s="9">
        <f t="shared" si="2"/>
        <v>2.5</v>
      </c>
      <c r="I17" s="16" t="s">
        <v>62</v>
      </c>
      <c r="J17" s="17" t="s">
        <v>86</v>
      </c>
    </row>
    <row r="18" spans="1:10" hidden="1" x14ac:dyDescent="0.25">
      <c r="A18" s="145" t="s">
        <v>87</v>
      </c>
      <c r="B18" s="146" t="s">
        <v>47</v>
      </c>
      <c r="C18" s="147" t="str">
        <f t="shared" si="0"/>
        <v>pinceszint+földszint1.</v>
      </c>
      <c r="D18" s="9">
        <v>2.5</v>
      </c>
      <c r="E18" s="9">
        <f t="shared" si="1"/>
        <v>2</v>
      </c>
      <c r="F18" s="9">
        <f t="shared" si="2"/>
        <v>3</v>
      </c>
    </row>
    <row r="19" spans="1:10" hidden="1" x14ac:dyDescent="0.25">
      <c r="A19" s="145" t="s">
        <v>87</v>
      </c>
      <c r="B19" s="146" t="s">
        <v>48</v>
      </c>
      <c r="C19" s="147" t="str">
        <f t="shared" si="0"/>
        <v>pinceszint+földszint2.</v>
      </c>
      <c r="D19" s="9">
        <v>2.8</v>
      </c>
      <c r="E19" s="9">
        <f t="shared" si="1"/>
        <v>2.2000000000000002</v>
      </c>
      <c r="F19" s="9">
        <f t="shared" si="2"/>
        <v>3.4</v>
      </c>
    </row>
    <row r="20" spans="1:10" hidden="1" x14ac:dyDescent="0.25">
      <c r="A20" s="145" t="s">
        <v>87</v>
      </c>
      <c r="B20" s="146" t="s">
        <v>49</v>
      </c>
      <c r="C20" s="147" t="str">
        <f t="shared" si="0"/>
        <v>pinceszint+földszint3.</v>
      </c>
      <c r="D20" s="9">
        <v>17.3</v>
      </c>
      <c r="E20" s="9">
        <f t="shared" si="1"/>
        <v>13.8</v>
      </c>
      <c r="F20" s="9">
        <f t="shared" si="2"/>
        <v>20.8</v>
      </c>
    </row>
    <row r="21" spans="1:10" hidden="1" x14ac:dyDescent="0.25">
      <c r="A21" s="145" t="s">
        <v>87</v>
      </c>
      <c r="B21" s="146" t="s">
        <v>50</v>
      </c>
      <c r="C21" s="147" t="str">
        <f t="shared" si="0"/>
        <v>pinceszint+földszint4.</v>
      </c>
      <c r="D21" s="9">
        <v>12.3</v>
      </c>
      <c r="E21" s="9">
        <f t="shared" si="1"/>
        <v>9.8000000000000007</v>
      </c>
      <c r="F21" s="9">
        <f t="shared" si="2"/>
        <v>14.8</v>
      </c>
    </row>
    <row r="22" spans="1:10" hidden="1" x14ac:dyDescent="0.25">
      <c r="A22" s="145" t="s">
        <v>87</v>
      </c>
      <c r="B22" s="146" t="s">
        <v>51</v>
      </c>
      <c r="C22" s="147" t="str">
        <f t="shared" si="0"/>
        <v>pinceszint+földszint5.</v>
      </c>
      <c r="D22" s="9">
        <v>10.5</v>
      </c>
      <c r="E22" s="9">
        <f t="shared" si="1"/>
        <v>8.4</v>
      </c>
      <c r="F22" s="9">
        <f t="shared" si="2"/>
        <v>12.6</v>
      </c>
    </row>
    <row r="23" spans="1:10" hidden="1" x14ac:dyDescent="0.25">
      <c r="A23" s="145" t="s">
        <v>87</v>
      </c>
      <c r="B23" s="146" t="s">
        <v>52</v>
      </c>
      <c r="C23" s="147" t="str">
        <f t="shared" si="0"/>
        <v>pinceszint+földszint6.</v>
      </c>
      <c r="D23" s="9">
        <v>5.0999999999999996</v>
      </c>
      <c r="E23" s="9">
        <f t="shared" si="1"/>
        <v>4.0999999999999996</v>
      </c>
      <c r="F23" s="9">
        <f t="shared" si="2"/>
        <v>6.1</v>
      </c>
    </row>
    <row r="24" spans="1:10" hidden="1" x14ac:dyDescent="0.25">
      <c r="A24" s="145" t="s">
        <v>87</v>
      </c>
      <c r="B24" s="146" t="s">
        <v>53</v>
      </c>
      <c r="C24" s="147" t="str">
        <f t="shared" si="0"/>
        <v>pinceszint+földszint7.</v>
      </c>
      <c r="D24" s="9">
        <v>4.7</v>
      </c>
      <c r="E24" s="9">
        <f t="shared" si="1"/>
        <v>3.8</v>
      </c>
      <c r="F24" s="9">
        <f t="shared" si="2"/>
        <v>5.6</v>
      </c>
    </row>
    <row r="25" spans="1:10" hidden="1" x14ac:dyDescent="0.25">
      <c r="A25" s="145" t="s">
        <v>87</v>
      </c>
      <c r="B25" s="146" t="s">
        <v>54</v>
      </c>
      <c r="C25" s="147" t="str">
        <f t="shared" si="0"/>
        <v>pinceszint+földszint8.</v>
      </c>
      <c r="D25" s="9">
        <v>7.2</v>
      </c>
      <c r="E25" s="9">
        <f t="shared" si="1"/>
        <v>5.8</v>
      </c>
      <c r="F25" s="9">
        <f t="shared" si="2"/>
        <v>8.6</v>
      </c>
    </row>
    <row r="26" spans="1:10" hidden="1" x14ac:dyDescent="0.25">
      <c r="A26" s="145" t="s">
        <v>87</v>
      </c>
      <c r="B26" s="146" t="s">
        <v>55</v>
      </c>
      <c r="C26" s="147" t="str">
        <f t="shared" si="0"/>
        <v>pinceszint+földszint9.</v>
      </c>
      <c r="D26" s="9">
        <v>7.1</v>
      </c>
      <c r="E26" s="9">
        <f t="shared" si="1"/>
        <v>5.7</v>
      </c>
      <c r="F26" s="9">
        <f t="shared" si="2"/>
        <v>8.5</v>
      </c>
    </row>
    <row r="27" spans="1:10" hidden="1" x14ac:dyDescent="0.25">
      <c r="A27" s="145" t="s">
        <v>87</v>
      </c>
      <c r="B27" s="146" t="s">
        <v>56</v>
      </c>
      <c r="C27" s="147" t="str">
        <f t="shared" si="0"/>
        <v>pinceszint+földszint10.</v>
      </c>
      <c r="D27" s="9">
        <v>7.6</v>
      </c>
      <c r="E27" s="9">
        <f t="shared" si="1"/>
        <v>6.1</v>
      </c>
      <c r="F27" s="9">
        <f t="shared" si="2"/>
        <v>9.1</v>
      </c>
    </row>
    <row r="28" spans="1:10" hidden="1" x14ac:dyDescent="0.25">
      <c r="A28" s="145" t="s">
        <v>87</v>
      </c>
      <c r="B28" s="146" t="s">
        <v>57</v>
      </c>
      <c r="C28" s="147" t="str">
        <f t="shared" si="0"/>
        <v>pinceszint+földszint11.</v>
      </c>
      <c r="D28" s="9">
        <v>2.1</v>
      </c>
      <c r="E28" s="9">
        <f t="shared" si="1"/>
        <v>1.7</v>
      </c>
      <c r="F28" s="9">
        <f t="shared" si="2"/>
        <v>2.5</v>
      </c>
    </row>
    <row r="29" spans="1:10" hidden="1" x14ac:dyDescent="0.25">
      <c r="A29" s="145" t="s">
        <v>87</v>
      </c>
      <c r="B29" s="146" t="s">
        <v>58</v>
      </c>
      <c r="C29" s="147" t="str">
        <f t="shared" si="0"/>
        <v>pinceszint+földszint12.</v>
      </c>
      <c r="D29" s="9">
        <v>2.5</v>
      </c>
      <c r="E29" s="9">
        <f t="shared" si="1"/>
        <v>2</v>
      </c>
      <c r="F29" s="9">
        <f t="shared" si="2"/>
        <v>3</v>
      </c>
    </row>
    <row r="30" spans="1:10" hidden="1" x14ac:dyDescent="0.25">
      <c r="A30" s="145" t="s">
        <v>87</v>
      </c>
      <c r="B30" s="146" t="s">
        <v>59</v>
      </c>
      <c r="C30" s="147" t="str">
        <f t="shared" si="0"/>
        <v>pinceszint+földszint13.</v>
      </c>
      <c r="D30" s="9">
        <v>5.2</v>
      </c>
      <c r="E30" s="148">
        <f>ROUND(D30*0.6,1)</f>
        <v>3.1</v>
      </c>
      <c r="F30" s="9">
        <f t="shared" si="2"/>
        <v>6.2</v>
      </c>
    </row>
    <row r="31" spans="1:10" x14ac:dyDescent="0.25">
      <c r="A31" s="145" t="s">
        <v>87</v>
      </c>
      <c r="B31" s="146" t="s">
        <v>60</v>
      </c>
      <c r="C31" s="147" t="str">
        <f t="shared" si="0"/>
        <v>pinceszint+földszint14.</v>
      </c>
      <c r="D31" s="9">
        <v>6.2</v>
      </c>
      <c r="E31" s="9">
        <f t="shared" si="1"/>
        <v>5</v>
      </c>
      <c r="F31" s="148">
        <f>ROUND(D31*1.5,1)</f>
        <v>9.3000000000000007</v>
      </c>
    </row>
    <row r="32" spans="1:10" x14ac:dyDescent="0.25">
      <c r="A32" s="145" t="s">
        <v>87</v>
      </c>
      <c r="B32" s="146" t="s">
        <v>61</v>
      </c>
      <c r="C32" s="147" t="str">
        <f t="shared" si="0"/>
        <v>pinceszint+földszint15.</v>
      </c>
      <c r="D32" s="9">
        <v>5.0999999999999996</v>
      </c>
      <c r="E32" s="9">
        <f t="shared" si="1"/>
        <v>4.0999999999999996</v>
      </c>
      <c r="F32" s="148">
        <f>ROUND(D32*1.5,1)</f>
        <v>7.7</v>
      </c>
    </row>
    <row r="33" spans="1:6" hidden="1" x14ac:dyDescent="0.25">
      <c r="A33" s="145" t="s">
        <v>87</v>
      </c>
      <c r="B33" s="146" t="s">
        <v>62</v>
      </c>
      <c r="C33" s="147" t="str">
        <f t="shared" si="0"/>
        <v>pinceszint+földszint16.</v>
      </c>
      <c r="D33" s="9">
        <v>1.8</v>
      </c>
      <c r="E33" s="9">
        <f t="shared" si="1"/>
        <v>1.4</v>
      </c>
      <c r="F33" s="9">
        <f t="shared" si="2"/>
        <v>2.2000000000000002</v>
      </c>
    </row>
    <row r="34" spans="1:6" hidden="1" x14ac:dyDescent="0.25">
      <c r="A34" s="145" t="s">
        <v>122</v>
      </c>
      <c r="B34" s="146" t="s">
        <v>47</v>
      </c>
      <c r="C34" s="147" t="str">
        <f t="shared" si="0"/>
        <v>földszint+emelet/tetőtér1.</v>
      </c>
      <c r="D34" s="9">
        <v>1.2</v>
      </c>
      <c r="E34" s="9">
        <f t="shared" si="1"/>
        <v>1</v>
      </c>
      <c r="F34" s="9">
        <f t="shared" si="2"/>
        <v>1.4</v>
      </c>
    </row>
    <row r="35" spans="1:6" hidden="1" x14ac:dyDescent="0.25">
      <c r="A35" s="145" t="s">
        <v>122</v>
      </c>
      <c r="B35" s="146" t="s">
        <v>48</v>
      </c>
      <c r="C35" s="147" t="str">
        <f t="shared" si="0"/>
        <v>földszint+emelet/tetőtér2.</v>
      </c>
      <c r="D35" s="9">
        <v>2.8</v>
      </c>
      <c r="E35" s="9">
        <f t="shared" si="1"/>
        <v>2.2000000000000002</v>
      </c>
      <c r="F35" s="9">
        <f t="shared" si="2"/>
        <v>3.4</v>
      </c>
    </row>
    <row r="36" spans="1:6" hidden="1" x14ac:dyDescent="0.25">
      <c r="A36" s="145" t="s">
        <v>122</v>
      </c>
      <c r="B36" s="146" t="s">
        <v>49</v>
      </c>
      <c r="C36" s="147" t="str">
        <f t="shared" si="0"/>
        <v>földszint+emelet/tetőtér3.</v>
      </c>
      <c r="D36" s="9">
        <v>13.9</v>
      </c>
      <c r="E36" s="9">
        <f t="shared" si="1"/>
        <v>11.1</v>
      </c>
      <c r="F36" s="9">
        <f t="shared" si="2"/>
        <v>16.7</v>
      </c>
    </row>
    <row r="37" spans="1:6" hidden="1" x14ac:dyDescent="0.25">
      <c r="A37" s="145" t="s">
        <v>122</v>
      </c>
      <c r="B37" s="146" t="s">
        <v>50</v>
      </c>
      <c r="C37" s="147" t="str">
        <f t="shared" si="0"/>
        <v>földszint+emelet/tetőtér4.</v>
      </c>
      <c r="D37" s="9">
        <v>10.7</v>
      </c>
      <c r="E37" s="9">
        <f t="shared" si="1"/>
        <v>8.6</v>
      </c>
      <c r="F37" s="9">
        <f t="shared" si="2"/>
        <v>12.8</v>
      </c>
    </row>
    <row r="38" spans="1:6" hidden="1" x14ac:dyDescent="0.25">
      <c r="A38" s="145" t="s">
        <v>122</v>
      </c>
      <c r="B38" s="146" t="s">
        <v>51</v>
      </c>
      <c r="C38" s="147" t="str">
        <f t="shared" si="0"/>
        <v>földszint+emelet/tetőtér5.</v>
      </c>
      <c r="D38" s="9">
        <v>11.2</v>
      </c>
      <c r="E38" s="9">
        <f t="shared" si="1"/>
        <v>9</v>
      </c>
      <c r="F38" s="9">
        <f t="shared" si="2"/>
        <v>13.4</v>
      </c>
    </row>
    <row r="39" spans="1:6" hidden="1" x14ac:dyDescent="0.25">
      <c r="A39" s="145" t="s">
        <v>122</v>
      </c>
      <c r="B39" s="146" t="s">
        <v>52</v>
      </c>
      <c r="C39" s="147" t="str">
        <f t="shared" si="0"/>
        <v>földszint+emelet/tetőtér6.</v>
      </c>
      <c r="D39" s="9">
        <v>4.5999999999999996</v>
      </c>
      <c r="E39" s="9">
        <f t="shared" si="1"/>
        <v>3.7</v>
      </c>
      <c r="F39" s="9">
        <f t="shared" si="2"/>
        <v>5.5</v>
      </c>
    </row>
    <row r="40" spans="1:6" hidden="1" x14ac:dyDescent="0.25">
      <c r="A40" s="145" t="s">
        <v>122</v>
      </c>
      <c r="B40" s="146" t="s">
        <v>53</v>
      </c>
      <c r="C40" s="147" t="str">
        <f t="shared" si="0"/>
        <v>földszint+emelet/tetőtér7.</v>
      </c>
      <c r="D40" s="9">
        <v>4.3</v>
      </c>
      <c r="E40" s="9">
        <f t="shared" si="1"/>
        <v>3.4</v>
      </c>
      <c r="F40" s="9">
        <f t="shared" si="2"/>
        <v>5.2</v>
      </c>
    </row>
    <row r="41" spans="1:6" hidden="1" x14ac:dyDescent="0.25">
      <c r="A41" s="145" t="s">
        <v>122</v>
      </c>
      <c r="B41" s="146" t="s">
        <v>54</v>
      </c>
      <c r="C41" s="147" t="str">
        <f t="shared" si="0"/>
        <v>földszint+emelet/tetőtér8.</v>
      </c>
      <c r="D41" s="9">
        <v>7.4</v>
      </c>
      <c r="E41" s="9">
        <f t="shared" si="1"/>
        <v>5.9</v>
      </c>
      <c r="F41" s="9">
        <f t="shared" si="2"/>
        <v>8.9</v>
      </c>
    </row>
    <row r="42" spans="1:6" hidden="1" x14ac:dyDescent="0.25">
      <c r="A42" s="145" t="s">
        <v>122</v>
      </c>
      <c r="B42" s="146" t="s">
        <v>55</v>
      </c>
      <c r="C42" s="147" t="str">
        <f t="shared" si="0"/>
        <v>földszint+emelet/tetőtér9.</v>
      </c>
      <c r="D42" s="9">
        <v>10.7</v>
      </c>
      <c r="E42" s="9">
        <f t="shared" si="1"/>
        <v>8.6</v>
      </c>
      <c r="F42" s="9">
        <f t="shared" si="2"/>
        <v>12.8</v>
      </c>
    </row>
    <row r="43" spans="1:6" hidden="1" x14ac:dyDescent="0.25">
      <c r="A43" s="145" t="s">
        <v>122</v>
      </c>
      <c r="B43" s="146" t="s">
        <v>56</v>
      </c>
      <c r="C43" s="147" t="str">
        <f t="shared" si="0"/>
        <v>földszint+emelet/tetőtér10.</v>
      </c>
      <c r="D43" s="9">
        <v>9.6999999999999993</v>
      </c>
      <c r="E43" s="9">
        <f t="shared" si="1"/>
        <v>7.8</v>
      </c>
      <c r="F43" s="9">
        <f t="shared" si="2"/>
        <v>11.6</v>
      </c>
    </row>
    <row r="44" spans="1:6" hidden="1" x14ac:dyDescent="0.25">
      <c r="A44" s="145" t="s">
        <v>122</v>
      </c>
      <c r="B44" s="146" t="s">
        <v>57</v>
      </c>
      <c r="C44" s="147" t="str">
        <f t="shared" si="0"/>
        <v>földszint+emelet/tetőtér11.</v>
      </c>
      <c r="D44" s="9">
        <v>2.7</v>
      </c>
      <c r="E44" s="9">
        <f t="shared" si="1"/>
        <v>2.2000000000000002</v>
      </c>
      <c r="F44" s="9">
        <f t="shared" si="2"/>
        <v>3.2</v>
      </c>
    </row>
    <row r="45" spans="1:6" hidden="1" x14ac:dyDescent="0.25">
      <c r="A45" s="145" t="s">
        <v>122</v>
      </c>
      <c r="B45" s="146" t="s">
        <v>58</v>
      </c>
      <c r="C45" s="147" t="str">
        <f t="shared" si="0"/>
        <v>földszint+emelet/tetőtér12.</v>
      </c>
      <c r="D45" s="9">
        <v>2.6</v>
      </c>
      <c r="E45" s="9">
        <f t="shared" si="1"/>
        <v>2.1</v>
      </c>
      <c r="F45" s="9">
        <f t="shared" si="2"/>
        <v>3.1</v>
      </c>
    </row>
    <row r="46" spans="1:6" hidden="1" x14ac:dyDescent="0.25">
      <c r="A46" s="145" t="s">
        <v>122</v>
      </c>
      <c r="B46" s="146" t="s">
        <v>59</v>
      </c>
      <c r="C46" s="147" t="str">
        <f t="shared" si="0"/>
        <v>földszint+emelet/tetőtér13.</v>
      </c>
      <c r="D46" s="9">
        <v>5.2</v>
      </c>
      <c r="E46" s="148">
        <f>ROUND(D46*0.6,1)</f>
        <v>3.1</v>
      </c>
      <c r="F46" s="9">
        <f t="shared" si="2"/>
        <v>6.2</v>
      </c>
    </row>
    <row r="47" spans="1:6" x14ac:dyDescent="0.25">
      <c r="A47" s="145" t="s">
        <v>122</v>
      </c>
      <c r="B47" s="146" t="s">
        <v>60</v>
      </c>
      <c r="C47" s="147" t="str">
        <f t="shared" si="0"/>
        <v>földszint+emelet/tetőtér14.</v>
      </c>
      <c r="D47" s="9">
        <v>6.2</v>
      </c>
      <c r="E47" s="9">
        <f t="shared" si="1"/>
        <v>5</v>
      </c>
      <c r="F47" s="148">
        <f>ROUND(D47*1.5,1)</f>
        <v>9.3000000000000007</v>
      </c>
    </row>
    <row r="48" spans="1:6" x14ac:dyDescent="0.25">
      <c r="A48" s="145" t="s">
        <v>122</v>
      </c>
      <c r="B48" s="146" t="s">
        <v>61</v>
      </c>
      <c r="C48" s="147" t="str">
        <f t="shared" si="0"/>
        <v>földszint+emelet/tetőtér15.</v>
      </c>
      <c r="D48" s="9">
        <v>5.0999999999999996</v>
      </c>
      <c r="E48" s="9">
        <f t="shared" si="1"/>
        <v>4.0999999999999996</v>
      </c>
      <c r="F48" s="148">
        <f>ROUND(D48*1.5,1)</f>
        <v>7.7</v>
      </c>
    </row>
    <row r="49" spans="1:6" hidden="1" x14ac:dyDescent="0.25">
      <c r="A49" s="145" t="s">
        <v>122</v>
      </c>
      <c r="B49" s="146" t="s">
        <v>62</v>
      </c>
      <c r="C49" s="147" t="str">
        <f t="shared" si="0"/>
        <v>földszint+emelet/tetőtér16.</v>
      </c>
      <c r="D49" s="9">
        <v>1.7</v>
      </c>
      <c r="E49" s="9">
        <f t="shared" si="1"/>
        <v>1.4</v>
      </c>
      <c r="F49" s="9">
        <f t="shared" si="2"/>
        <v>2</v>
      </c>
    </row>
    <row r="50" spans="1:6" hidden="1" x14ac:dyDescent="0.25">
      <c r="A50" s="145" t="s">
        <v>121</v>
      </c>
      <c r="B50" s="146" t="s">
        <v>47</v>
      </c>
      <c r="C50" s="147" t="str">
        <f t="shared" si="0"/>
        <v>pinceszint+földszint+emelet/tetőtér1.</v>
      </c>
      <c r="D50" s="9">
        <v>2.2999999999999998</v>
      </c>
      <c r="E50" s="9">
        <f t="shared" si="1"/>
        <v>1.8</v>
      </c>
      <c r="F50" s="9">
        <f t="shared" si="2"/>
        <v>2.8</v>
      </c>
    </row>
    <row r="51" spans="1:6" hidden="1" x14ac:dyDescent="0.25">
      <c r="A51" s="145" t="s">
        <v>121</v>
      </c>
      <c r="B51" s="146" t="s">
        <v>48</v>
      </c>
      <c r="C51" s="147" t="str">
        <f t="shared" si="0"/>
        <v>pinceszint+földszint+emelet/tetőtér2.</v>
      </c>
      <c r="D51" s="9">
        <v>2.5</v>
      </c>
      <c r="E51" s="9">
        <f t="shared" si="1"/>
        <v>2</v>
      </c>
      <c r="F51" s="9">
        <f t="shared" si="2"/>
        <v>3</v>
      </c>
    </row>
    <row r="52" spans="1:6" hidden="1" x14ac:dyDescent="0.25">
      <c r="A52" s="145" t="s">
        <v>121</v>
      </c>
      <c r="B52" s="146" t="s">
        <v>49</v>
      </c>
      <c r="C52" s="147" t="str">
        <f t="shared" si="0"/>
        <v>pinceszint+földszint+emelet/tetőtér3.</v>
      </c>
      <c r="D52" s="9">
        <v>16.5</v>
      </c>
      <c r="E52" s="9">
        <f t="shared" si="1"/>
        <v>13.2</v>
      </c>
      <c r="F52" s="9">
        <f t="shared" si="2"/>
        <v>19.8</v>
      </c>
    </row>
    <row r="53" spans="1:6" hidden="1" x14ac:dyDescent="0.25">
      <c r="A53" s="145" t="s">
        <v>121</v>
      </c>
      <c r="B53" s="146" t="s">
        <v>50</v>
      </c>
      <c r="C53" s="147" t="str">
        <f t="shared" si="0"/>
        <v>pinceszint+földszint+emelet/tetőtér4.</v>
      </c>
      <c r="D53" s="9">
        <v>11.5</v>
      </c>
      <c r="E53" s="9">
        <f t="shared" si="1"/>
        <v>9.1999999999999993</v>
      </c>
      <c r="F53" s="9">
        <f t="shared" si="2"/>
        <v>13.8</v>
      </c>
    </row>
    <row r="54" spans="1:6" hidden="1" x14ac:dyDescent="0.25">
      <c r="A54" s="145" t="s">
        <v>121</v>
      </c>
      <c r="B54" s="146" t="s">
        <v>51</v>
      </c>
      <c r="C54" s="147" t="str">
        <f t="shared" si="0"/>
        <v>pinceszint+földszint+emelet/tetőtér5.</v>
      </c>
      <c r="D54" s="9">
        <v>9.4</v>
      </c>
      <c r="E54" s="9">
        <f t="shared" si="1"/>
        <v>7.5</v>
      </c>
      <c r="F54" s="9">
        <f t="shared" si="2"/>
        <v>11.3</v>
      </c>
    </row>
    <row r="55" spans="1:6" hidden="1" x14ac:dyDescent="0.25">
      <c r="A55" s="145" t="s">
        <v>121</v>
      </c>
      <c r="B55" s="146" t="s">
        <v>52</v>
      </c>
      <c r="C55" s="147" t="str">
        <f t="shared" si="0"/>
        <v>pinceszint+földszint+emelet/tetőtér6.</v>
      </c>
      <c r="D55" s="9">
        <v>4.5</v>
      </c>
      <c r="E55" s="9">
        <f t="shared" si="1"/>
        <v>3.6</v>
      </c>
      <c r="F55" s="9">
        <f t="shared" si="2"/>
        <v>5.4</v>
      </c>
    </row>
    <row r="56" spans="1:6" hidden="1" x14ac:dyDescent="0.25">
      <c r="A56" s="145" t="s">
        <v>121</v>
      </c>
      <c r="B56" s="146" t="s">
        <v>53</v>
      </c>
      <c r="C56" s="147" t="str">
        <f t="shared" si="0"/>
        <v>pinceszint+földszint+emelet/tetőtér7.</v>
      </c>
      <c r="D56" s="9">
        <v>4.2</v>
      </c>
      <c r="E56" s="9">
        <f t="shared" si="1"/>
        <v>3.4</v>
      </c>
      <c r="F56" s="9">
        <f t="shared" si="2"/>
        <v>5</v>
      </c>
    </row>
    <row r="57" spans="1:6" hidden="1" x14ac:dyDescent="0.25">
      <c r="A57" s="145" t="s">
        <v>121</v>
      </c>
      <c r="B57" s="146" t="s">
        <v>54</v>
      </c>
      <c r="C57" s="147" t="str">
        <f t="shared" si="0"/>
        <v>pinceszint+földszint+emelet/tetőtér8.</v>
      </c>
      <c r="D57" s="9">
        <v>7</v>
      </c>
      <c r="E57" s="9">
        <f t="shared" si="1"/>
        <v>5.6</v>
      </c>
      <c r="F57" s="9">
        <f t="shared" si="2"/>
        <v>8.4</v>
      </c>
    </row>
    <row r="58" spans="1:6" hidden="1" x14ac:dyDescent="0.25">
      <c r="A58" s="145" t="s">
        <v>121</v>
      </c>
      <c r="B58" s="146" t="s">
        <v>55</v>
      </c>
      <c r="C58" s="147" t="str">
        <f t="shared" si="0"/>
        <v>pinceszint+földszint+emelet/tetőtér9.</v>
      </c>
      <c r="D58" s="9">
        <v>8.9</v>
      </c>
      <c r="E58" s="9">
        <f t="shared" si="1"/>
        <v>7.1</v>
      </c>
      <c r="F58" s="9">
        <f t="shared" si="2"/>
        <v>10.7</v>
      </c>
    </row>
    <row r="59" spans="1:6" hidden="1" x14ac:dyDescent="0.25">
      <c r="A59" s="145" t="s">
        <v>121</v>
      </c>
      <c r="B59" s="146" t="s">
        <v>56</v>
      </c>
      <c r="C59" s="147" t="str">
        <f t="shared" si="0"/>
        <v>pinceszint+földszint+emelet/tetőtér10.</v>
      </c>
      <c r="D59" s="9">
        <v>9.6999999999999993</v>
      </c>
      <c r="E59" s="9">
        <f t="shared" si="1"/>
        <v>7.8</v>
      </c>
      <c r="F59" s="9">
        <f t="shared" si="2"/>
        <v>11.6</v>
      </c>
    </row>
    <row r="60" spans="1:6" hidden="1" x14ac:dyDescent="0.25">
      <c r="A60" s="145" t="s">
        <v>121</v>
      </c>
      <c r="B60" s="146" t="s">
        <v>57</v>
      </c>
      <c r="C60" s="147" t="str">
        <f t="shared" si="0"/>
        <v>pinceszint+földszint+emelet/tetőtér11.</v>
      </c>
      <c r="D60" s="9">
        <v>2.7</v>
      </c>
      <c r="E60" s="9">
        <f t="shared" si="1"/>
        <v>2.2000000000000002</v>
      </c>
      <c r="F60" s="9">
        <f t="shared" si="2"/>
        <v>3.2</v>
      </c>
    </row>
    <row r="61" spans="1:6" hidden="1" x14ac:dyDescent="0.25">
      <c r="A61" s="145" t="s">
        <v>121</v>
      </c>
      <c r="B61" s="146" t="s">
        <v>58</v>
      </c>
      <c r="C61" s="147" t="str">
        <f t="shared" si="0"/>
        <v>pinceszint+földszint+emelet/tetőtér12.</v>
      </c>
      <c r="D61" s="9">
        <v>2.9</v>
      </c>
      <c r="E61" s="9">
        <f t="shared" si="1"/>
        <v>2.2999999999999998</v>
      </c>
      <c r="F61" s="9">
        <f t="shared" si="2"/>
        <v>3.5</v>
      </c>
    </row>
    <row r="62" spans="1:6" hidden="1" x14ac:dyDescent="0.25">
      <c r="A62" s="145" t="s">
        <v>121</v>
      </c>
      <c r="B62" s="146" t="s">
        <v>59</v>
      </c>
      <c r="C62" s="147" t="str">
        <f t="shared" si="0"/>
        <v>pinceszint+földszint+emelet/tetőtér13.</v>
      </c>
      <c r="D62" s="9">
        <v>5.2</v>
      </c>
      <c r="E62" s="148">
        <f>ROUND(D62*0.6,1)</f>
        <v>3.1</v>
      </c>
      <c r="F62" s="9">
        <f t="shared" si="2"/>
        <v>6.2</v>
      </c>
    </row>
    <row r="63" spans="1:6" x14ac:dyDescent="0.25">
      <c r="A63" s="145" t="s">
        <v>121</v>
      </c>
      <c r="B63" s="146" t="s">
        <v>60</v>
      </c>
      <c r="C63" s="147" t="str">
        <f t="shared" si="0"/>
        <v>pinceszint+földszint+emelet/tetőtér14.</v>
      </c>
      <c r="D63" s="9">
        <v>6.2</v>
      </c>
      <c r="E63" s="9">
        <f t="shared" si="1"/>
        <v>5</v>
      </c>
      <c r="F63" s="148">
        <f>ROUND(D63*1.5,1)</f>
        <v>9.3000000000000007</v>
      </c>
    </row>
    <row r="64" spans="1:6" x14ac:dyDescent="0.25">
      <c r="A64" s="145" t="s">
        <v>121</v>
      </c>
      <c r="B64" s="146" t="s">
        <v>61</v>
      </c>
      <c r="C64" s="147" t="str">
        <f t="shared" si="0"/>
        <v>pinceszint+földszint+emelet/tetőtér15.</v>
      </c>
      <c r="D64" s="9">
        <v>5.0999999999999996</v>
      </c>
      <c r="E64" s="9">
        <f t="shared" si="1"/>
        <v>4.0999999999999996</v>
      </c>
      <c r="F64" s="148">
        <f>ROUND(D64*1.5,1)</f>
        <v>7.7</v>
      </c>
    </row>
    <row r="65" spans="1:6" hidden="1" x14ac:dyDescent="0.25">
      <c r="A65" s="145" t="s">
        <v>121</v>
      </c>
      <c r="B65" s="146" t="s">
        <v>62</v>
      </c>
      <c r="C65" s="147" t="str">
        <f t="shared" si="0"/>
        <v>pinceszint+földszint+emelet/tetőtér16.</v>
      </c>
      <c r="D65" s="9">
        <v>1.4</v>
      </c>
      <c r="E65" s="9">
        <f t="shared" si="1"/>
        <v>1.1000000000000001</v>
      </c>
      <c r="F65" s="9">
        <f t="shared" si="2"/>
        <v>1.7</v>
      </c>
    </row>
    <row r="66" spans="1:6" hidden="1" x14ac:dyDescent="0.25">
      <c r="A66" s="145" t="s">
        <v>120</v>
      </c>
      <c r="B66" s="146" t="s">
        <v>47</v>
      </c>
      <c r="C66" s="147" t="str">
        <f t="shared" si="0"/>
        <v>tetőtér beépítés / emelet ráépítés1.</v>
      </c>
      <c r="D66" s="9">
        <v>0</v>
      </c>
      <c r="E66" s="9">
        <f t="shared" si="1"/>
        <v>0</v>
      </c>
      <c r="F66" s="9">
        <f t="shared" si="2"/>
        <v>0</v>
      </c>
    </row>
    <row r="67" spans="1:6" hidden="1" x14ac:dyDescent="0.25">
      <c r="A67" s="145" t="s">
        <v>120</v>
      </c>
      <c r="B67" s="146" t="s">
        <v>48</v>
      </c>
      <c r="C67" s="147" t="str">
        <f t="shared" ref="C67:C81" si="3">A67&amp;B67</f>
        <v>tetőtér beépítés / emelet ráépítés2.</v>
      </c>
      <c r="D67" s="9">
        <v>0</v>
      </c>
      <c r="E67" s="9">
        <f t="shared" si="1"/>
        <v>0</v>
      </c>
      <c r="F67" s="9">
        <f t="shared" ref="F67:F81" si="4">ROUND(D67*1.2,1)</f>
        <v>0</v>
      </c>
    </row>
    <row r="68" spans="1:6" hidden="1" x14ac:dyDescent="0.25">
      <c r="A68" s="145" t="s">
        <v>120</v>
      </c>
      <c r="B68" s="146" t="s">
        <v>49</v>
      </c>
      <c r="C68" s="147" t="str">
        <f t="shared" si="3"/>
        <v>tetőtér beépítés / emelet ráépítés3.</v>
      </c>
      <c r="D68" s="9">
        <v>12</v>
      </c>
      <c r="E68" s="9">
        <f t="shared" si="1"/>
        <v>9.6</v>
      </c>
      <c r="F68" s="9">
        <f t="shared" si="4"/>
        <v>14.4</v>
      </c>
    </row>
    <row r="69" spans="1:6" hidden="1" x14ac:dyDescent="0.25">
      <c r="A69" s="145" t="s">
        <v>120</v>
      </c>
      <c r="B69" s="146" t="s">
        <v>50</v>
      </c>
      <c r="C69" s="147" t="str">
        <f t="shared" si="3"/>
        <v>tetőtér beépítés / emelet ráépítés4.</v>
      </c>
      <c r="D69" s="9">
        <v>7</v>
      </c>
      <c r="E69" s="9">
        <f t="shared" ref="E69:E81" si="5">ROUND(D69*0.8,1)</f>
        <v>5.6</v>
      </c>
      <c r="F69" s="9">
        <f t="shared" si="4"/>
        <v>8.4</v>
      </c>
    </row>
    <row r="70" spans="1:6" hidden="1" x14ac:dyDescent="0.25">
      <c r="A70" s="145" t="s">
        <v>120</v>
      </c>
      <c r="B70" s="146" t="s">
        <v>51</v>
      </c>
      <c r="C70" s="147" t="str">
        <f t="shared" si="3"/>
        <v>tetőtér beépítés / emelet ráépítés5.</v>
      </c>
      <c r="D70" s="9">
        <v>11</v>
      </c>
      <c r="E70" s="9">
        <f t="shared" si="5"/>
        <v>8.8000000000000007</v>
      </c>
      <c r="F70" s="9">
        <f t="shared" si="4"/>
        <v>13.2</v>
      </c>
    </row>
    <row r="71" spans="1:6" hidden="1" x14ac:dyDescent="0.25">
      <c r="A71" s="145" t="s">
        <v>120</v>
      </c>
      <c r="B71" s="146" t="s">
        <v>52</v>
      </c>
      <c r="C71" s="147" t="str">
        <f t="shared" si="3"/>
        <v>tetőtér beépítés / emelet ráépítés6.</v>
      </c>
      <c r="D71" s="9">
        <v>18</v>
      </c>
      <c r="E71" s="9">
        <f t="shared" si="5"/>
        <v>14.4</v>
      </c>
      <c r="F71" s="9">
        <f t="shared" si="4"/>
        <v>21.6</v>
      </c>
    </row>
    <row r="72" spans="1:6" hidden="1" x14ac:dyDescent="0.25">
      <c r="A72" s="145" t="s">
        <v>120</v>
      </c>
      <c r="B72" s="146" t="s">
        <v>53</v>
      </c>
      <c r="C72" s="147" t="str">
        <f t="shared" si="3"/>
        <v>tetőtér beépítés / emelet ráépítés7.</v>
      </c>
      <c r="D72" s="9">
        <v>6</v>
      </c>
      <c r="E72" s="9">
        <f t="shared" si="5"/>
        <v>4.8</v>
      </c>
      <c r="F72" s="9">
        <f t="shared" si="4"/>
        <v>7.2</v>
      </c>
    </row>
    <row r="73" spans="1:6" hidden="1" x14ac:dyDescent="0.25">
      <c r="A73" s="145" t="s">
        <v>120</v>
      </c>
      <c r="B73" s="146" t="s">
        <v>54</v>
      </c>
      <c r="C73" s="147" t="str">
        <f t="shared" si="3"/>
        <v>tetőtér beépítés / emelet ráépítés8.</v>
      </c>
      <c r="D73" s="9">
        <v>9</v>
      </c>
      <c r="E73" s="9">
        <f t="shared" si="5"/>
        <v>7.2</v>
      </c>
      <c r="F73" s="9">
        <f t="shared" si="4"/>
        <v>10.8</v>
      </c>
    </row>
    <row r="74" spans="1:6" hidden="1" x14ac:dyDescent="0.25">
      <c r="A74" s="145" t="s">
        <v>120</v>
      </c>
      <c r="B74" s="146" t="s">
        <v>55</v>
      </c>
      <c r="C74" s="147" t="str">
        <f t="shared" si="3"/>
        <v>tetőtér beépítés / emelet ráépítés9.</v>
      </c>
      <c r="D74" s="9">
        <v>4</v>
      </c>
      <c r="E74" s="9">
        <f t="shared" si="5"/>
        <v>3.2</v>
      </c>
      <c r="F74" s="9">
        <f t="shared" si="4"/>
        <v>4.8</v>
      </c>
    </row>
    <row r="75" spans="1:6" hidden="1" x14ac:dyDescent="0.25">
      <c r="A75" s="145" t="s">
        <v>120</v>
      </c>
      <c r="B75" s="146" t="s">
        <v>56</v>
      </c>
      <c r="C75" s="147" t="str">
        <f t="shared" si="3"/>
        <v>tetőtér beépítés / emelet ráépítés10.</v>
      </c>
      <c r="D75" s="9">
        <v>9</v>
      </c>
      <c r="E75" s="9">
        <f t="shared" si="5"/>
        <v>7.2</v>
      </c>
      <c r="F75" s="9">
        <f t="shared" si="4"/>
        <v>10.8</v>
      </c>
    </row>
    <row r="76" spans="1:6" hidden="1" x14ac:dyDescent="0.25">
      <c r="A76" s="145" t="s">
        <v>120</v>
      </c>
      <c r="B76" s="146" t="s">
        <v>57</v>
      </c>
      <c r="C76" s="147" t="str">
        <f t="shared" si="3"/>
        <v>tetőtér beépítés / emelet ráépítés11.</v>
      </c>
      <c r="D76" s="9">
        <v>6</v>
      </c>
      <c r="E76" s="9">
        <f t="shared" si="5"/>
        <v>4.8</v>
      </c>
      <c r="F76" s="9">
        <f t="shared" si="4"/>
        <v>7.2</v>
      </c>
    </row>
    <row r="77" spans="1:6" hidden="1" x14ac:dyDescent="0.25">
      <c r="A77" s="145" t="s">
        <v>120</v>
      </c>
      <c r="B77" s="146" t="s">
        <v>58</v>
      </c>
      <c r="C77" s="147" t="str">
        <f t="shared" si="3"/>
        <v>tetőtér beépítés / emelet ráépítés12.</v>
      </c>
      <c r="D77" s="9">
        <v>4</v>
      </c>
      <c r="E77" s="9">
        <f t="shared" si="5"/>
        <v>3.2</v>
      </c>
      <c r="F77" s="9">
        <f t="shared" si="4"/>
        <v>4.8</v>
      </c>
    </row>
    <row r="78" spans="1:6" hidden="1" x14ac:dyDescent="0.25">
      <c r="A78" s="145" t="s">
        <v>120</v>
      </c>
      <c r="B78" s="146" t="s">
        <v>59</v>
      </c>
      <c r="C78" s="147" t="str">
        <f t="shared" si="3"/>
        <v>tetőtér beépítés / emelet ráépítés13.</v>
      </c>
      <c r="D78" s="9">
        <v>5</v>
      </c>
      <c r="E78" s="148">
        <f>ROUND(D78*0.6,1)</f>
        <v>3</v>
      </c>
      <c r="F78" s="9">
        <f t="shared" si="4"/>
        <v>6</v>
      </c>
    </row>
    <row r="79" spans="1:6" x14ac:dyDescent="0.25">
      <c r="A79" s="145" t="s">
        <v>120</v>
      </c>
      <c r="B79" s="146" t="s">
        <v>60</v>
      </c>
      <c r="C79" s="147" t="str">
        <f t="shared" si="3"/>
        <v>tetőtér beépítés / emelet ráépítés14.</v>
      </c>
      <c r="D79" s="9">
        <v>5</v>
      </c>
      <c r="E79" s="9">
        <f t="shared" si="5"/>
        <v>4</v>
      </c>
      <c r="F79" s="148">
        <f>ROUND(D79*1.5,1)</f>
        <v>7.5</v>
      </c>
    </row>
    <row r="80" spans="1:6" x14ac:dyDescent="0.25">
      <c r="A80" s="145" t="s">
        <v>120</v>
      </c>
      <c r="B80" s="146" t="s">
        <v>61</v>
      </c>
      <c r="C80" s="147" t="str">
        <f t="shared" si="3"/>
        <v>tetőtér beépítés / emelet ráépítés15.</v>
      </c>
      <c r="D80" s="9">
        <v>4</v>
      </c>
      <c r="E80" s="9">
        <f t="shared" si="5"/>
        <v>3.2</v>
      </c>
      <c r="F80" s="148">
        <f>ROUND(D80*1.5,1)</f>
        <v>6</v>
      </c>
    </row>
    <row r="81" spans="1:6" hidden="1" x14ac:dyDescent="0.25">
      <c r="A81" s="145" t="s">
        <v>120</v>
      </c>
      <c r="B81" s="146" t="s">
        <v>62</v>
      </c>
      <c r="C81" s="147" t="str">
        <f t="shared" si="3"/>
        <v>tetőtér beépítés / emelet ráépítés16.</v>
      </c>
      <c r="D81" s="9">
        <v>0</v>
      </c>
      <c r="E81" s="9">
        <f t="shared" si="5"/>
        <v>0</v>
      </c>
      <c r="F81" s="9">
        <f t="shared" si="4"/>
        <v>0</v>
      </c>
    </row>
  </sheetData>
  <autoFilter ref="A1:L81" xr:uid="{00000000-0009-0000-0000-000002000000}">
    <filterColumn colId="5">
      <colorFilter dxfId="13"/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4"/>
  <sheetViews>
    <sheetView showGridLines="0" view="pageBreakPreview" zoomScaleNormal="100" zoomScaleSheetLayoutView="100" workbookViewId="0">
      <selection activeCell="I1" sqref="I1"/>
    </sheetView>
  </sheetViews>
  <sheetFormatPr defaultColWidth="9.109375" defaultRowHeight="13.2" x14ac:dyDescent="0.25"/>
  <cols>
    <col min="1" max="1" width="9.33203125" style="144" customWidth="1"/>
    <col min="2" max="2" width="48.109375" style="144" customWidth="1"/>
    <col min="3" max="3" width="18.109375" style="144" customWidth="1"/>
    <col min="4" max="4" width="13.44140625" style="144" hidden="1" customWidth="1"/>
    <col min="5" max="5" width="14.6640625" style="144" hidden="1" customWidth="1"/>
    <col min="6" max="6" width="15.109375" style="144" customWidth="1"/>
    <col min="7" max="7" width="15.33203125" style="144" customWidth="1"/>
    <col min="8" max="8" width="28.44140625" style="144" customWidth="1"/>
    <col min="9" max="9" width="6" style="144" customWidth="1"/>
    <col min="10" max="12" width="5.88671875" style="88" hidden="1" customWidth="1"/>
    <col min="13" max="21" width="8.88671875" style="89" hidden="1" customWidth="1"/>
    <col min="22" max="23" width="9.109375" style="144" hidden="1" customWidth="1"/>
    <col min="24" max="24" width="9.109375" style="144" customWidth="1"/>
    <col min="25" max="16384" width="9.109375" style="144"/>
  </cols>
  <sheetData>
    <row r="1" spans="1:17" ht="37.5" customHeight="1" thickBot="1" x14ac:dyDescent="0.45">
      <c r="A1" s="197" t="s">
        <v>125</v>
      </c>
      <c r="B1" s="197"/>
      <c r="C1" s="197"/>
      <c r="D1" s="197"/>
      <c r="E1" s="197"/>
      <c r="F1" s="197"/>
      <c r="G1" s="197"/>
      <c r="H1" s="197"/>
      <c r="I1" s="86" t="s">
        <v>126</v>
      </c>
      <c r="J1" s="87"/>
      <c r="K1" s="87"/>
    </row>
    <row r="2" spans="1:17" ht="18.75" customHeight="1" thickBot="1" x14ac:dyDescent="0.45">
      <c r="A2" s="90"/>
      <c r="B2" s="198" t="str">
        <f>IF(F33="    ","Adatlap megfelelően kitöltőtt","Adatlap nem végleges: F33-as cella hibajelzése alapján javítás szükséges (F oszlopot a Tanácsadó tölti ki)")</f>
        <v>Adatlap nem végleges: F33-as cella hibajelzése alapján javítás szükséges (F oszlopot a Tanácsadó tölti ki)</v>
      </c>
      <c r="C2" s="199"/>
      <c r="D2" s="199"/>
      <c r="E2" s="199"/>
      <c r="F2" s="199"/>
      <c r="G2" s="199"/>
      <c r="H2" s="200"/>
      <c r="I2" s="90"/>
      <c r="J2" s="87"/>
      <c r="K2" s="87"/>
    </row>
    <row r="3" spans="1:17" ht="24.75" customHeight="1" x14ac:dyDescent="0.4">
      <c r="A3" s="201" t="s">
        <v>127</v>
      </c>
      <c r="B3" s="91" t="s">
        <v>40</v>
      </c>
      <c r="C3" s="204"/>
      <c r="D3" s="204"/>
      <c r="E3" s="204"/>
      <c r="F3" s="204"/>
      <c r="G3" s="204"/>
      <c r="H3" s="205"/>
      <c r="I3" s="90"/>
      <c r="J3" s="87"/>
      <c r="K3" s="87"/>
      <c r="N3" s="89" t="str">
        <f>IF(((IF((LEN(C3)=0),0,1))*(IF((LEN(C4)=0),0,1))*(IF((LEN(H4)=0),0,1))*(IF((LEN(C6)=0),0,1))*(IF((LEN(H6)=0),0,1))*(IF((LEN(C3)=0),0,1)))=0,"Kitöltetlen alapadat (c3,c4,c6,h4,h6)","")</f>
        <v>Kitöltetlen alapadat (c3,c4,c6,h4,h6)</v>
      </c>
    </row>
    <row r="4" spans="1:17" ht="45" customHeight="1" x14ac:dyDescent="0.4">
      <c r="A4" s="202"/>
      <c r="B4" s="92" t="s">
        <v>41</v>
      </c>
      <c r="C4" s="93"/>
      <c r="D4" s="94"/>
      <c r="E4" s="94"/>
      <c r="F4" s="206" t="s">
        <v>104</v>
      </c>
      <c r="G4" s="206"/>
      <c r="H4" s="95"/>
      <c r="I4" s="90"/>
      <c r="J4" s="87"/>
      <c r="K4" s="96"/>
      <c r="L4" s="96" t="str">
        <f>H4&amp;L5</f>
        <v>1</v>
      </c>
      <c r="N4" s="89">
        <f>IF(H4="nem engedélyköteles",0,1)</f>
        <v>1</v>
      </c>
      <c r="O4" s="89" t="str">
        <f>IF(O5=1,", Minden engedélyköteles munkálat esetén ki kell tölteni a C5 és a H5 ös cellát","")</f>
        <v>, Minden engedélyköteles munkálat esetén ki kell tölteni a C5 és a H5 ös cellát</v>
      </c>
    </row>
    <row r="5" spans="1:17" ht="45" customHeight="1" x14ac:dyDescent="0.4">
      <c r="A5" s="202"/>
      <c r="B5" s="92" t="s">
        <v>128</v>
      </c>
      <c r="C5" s="97"/>
      <c r="D5" s="98"/>
      <c r="E5" s="99"/>
      <c r="F5" s="206" t="s">
        <v>129</v>
      </c>
      <c r="G5" s="206"/>
      <c r="H5" s="100"/>
      <c r="I5" s="90"/>
      <c r="J5" s="87"/>
      <c r="K5" s="101">
        <f>C5</f>
        <v>0</v>
      </c>
      <c r="L5" s="102">
        <f>IF(K5&gt;43761,2,1)</f>
        <v>1</v>
      </c>
      <c r="M5" s="103"/>
      <c r="N5" s="104">
        <f>(LEN(C5))*(LEN(H5))</f>
        <v>0</v>
      </c>
      <c r="O5" s="105">
        <f>N4+N5</f>
        <v>1</v>
      </c>
    </row>
    <row r="6" spans="1:17" ht="59.25" customHeight="1" x14ac:dyDescent="0.4">
      <c r="A6" s="202"/>
      <c r="B6" s="92" t="s">
        <v>130</v>
      </c>
      <c r="C6" s="106"/>
      <c r="D6" s="207"/>
      <c r="E6" s="207"/>
      <c r="F6" s="208" t="s">
        <v>106</v>
      </c>
      <c r="G6" s="208"/>
      <c r="H6" s="107"/>
      <c r="I6" s="90"/>
      <c r="J6" s="87"/>
      <c r="K6" s="87"/>
      <c r="L6" s="102" t="str">
        <f>H7&amp;L5</f>
        <v>1</v>
      </c>
      <c r="M6" s="103"/>
      <c r="O6" s="89">
        <f>IF(H4="nem engedélyköteles",1,0)</f>
        <v>0</v>
      </c>
      <c r="Q6" s="89" t="str">
        <f>IF(AND((O6)=0,(H7="NEM (nyitott, de nem vezeti az E-naplót)")),"Csak támogatás igényelhető, hitel nem","")</f>
        <v/>
      </c>
    </row>
    <row r="7" spans="1:17" ht="34.5" customHeight="1" thickBot="1" x14ac:dyDescent="0.3">
      <c r="A7" s="203"/>
      <c r="B7" s="108" t="str">
        <f>IF((O7+O6)&gt;0,"Opcionális az E-napló nyitás","Kötelező az E-napló nyitás")</f>
        <v>Kötelező az E-napló nyitás</v>
      </c>
      <c r="C7" s="109" t="str">
        <f>Q6</f>
        <v/>
      </c>
      <c r="D7" s="110"/>
      <c r="E7" s="110"/>
      <c r="F7" s="209" t="s">
        <v>160</v>
      </c>
      <c r="G7" s="209"/>
      <c r="H7" s="111"/>
      <c r="I7" s="112"/>
      <c r="J7" s="113" t="s">
        <v>131</v>
      </c>
      <c r="K7" s="113">
        <v>23</v>
      </c>
      <c r="L7" s="113">
        <v>24</v>
      </c>
      <c r="O7" s="89">
        <f>IF(L4="egyszerű bejelentés2",1,0)</f>
        <v>0</v>
      </c>
      <c r="Q7" s="89" t="str">
        <f>IF($L$4="egyszerű bejelentés2","Kötelező kitölteni -","")&amp;"Ügyfél nyilatkozat alapján SAJÁT RÉSZRE  ÉPÍT és NEM NYÍT E-naplót, akkor választható a csak támogatást vesz igénybe 2019.10.23 UTÁNI építési bejelentéssel"</f>
        <v>Ügyfél nyilatkozat alapján SAJÁT RÉSZRE  ÉPÍT és NEM NYÍT E-naplót, akkor választható a csak támogatást vesz igénybe 2019.10.23 UTÁNI építési bejelentéssel</v>
      </c>
    </row>
    <row r="8" spans="1:17" ht="13.8" thickBot="1" x14ac:dyDescent="0.3">
      <c r="A8" s="114"/>
      <c r="B8" s="115"/>
      <c r="C8" s="115"/>
      <c r="D8" s="115"/>
      <c r="E8" s="115"/>
      <c r="F8" s="115"/>
      <c r="G8" s="115"/>
      <c r="H8" s="115"/>
      <c r="I8" s="114"/>
      <c r="J8" s="116"/>
      <c r="K8" s="116"/>
      <c r="L8" s="116"/>
    </row>
    <row r="9" spans="1:17" ht="34.950000000000003" customHeight="1" thickTop="1" thickBot="1" x14ac:dyDescent="0.35">
      <c r="A9" s="117"/>
      <c r="B9" s="118" t="s">
        <v>94</v>
      </c>
      <c r="C9" s="119" t="s">
        <v>132</v>
      </c>
      <c r="D9" s="120" t="s">
        <v>96</v>
      </c>
      <c r="E9" s="121" t="s">
        <v>133</v>
      </c>
      <c r="F9" s="122" t="s">
        <v>161</v>
      </c>
      <c r="G9" s="193" t="s">
        <v>134</v>
      </c>
      <c r="H9" s="194"/>
      <c r="I9" s="114"/>
      <c r="J9" s="123"/>
      <c r="K9" s="116"/>
      <c r="L9" s="116"/>
    </row>
    <row r="10" spans="1:17" ht="57.75" customHeight="1" x14ac:dyDescent="0.3">
      <c r="A10" s="195" t="s">
        <v>97</v>
      </c>
      <c r="B10" s="124" t="s">
        <v>135</v>
      </c>
      <c r="C10" s="125" t="s">
        <v>95</v>
      </c>
      <c r="D10" s="126" t="b">
        <v>0</v>
      </c>
      <c r="E10" s="127" t="b">
        <v>0</v>
      </c>
      <c r="F10" s="128"/>
      <c r="G10" s="185"/>
      <c r="H10" s="186"/>
      <c r="I10" s="129"/>
      <c r="J10" s="123"/>
      <c r="K10" s="116"/>
      <c r="L10" s="116"/>
      <c r="N10" s="89">
        <f>(IF(C10="Kötelező",1,0))+(LEN(F10))</f>
        <v>1</v>
      </c>
      <c r="Q10" s="89">
        <f>IF(AND(C10="Kötelező",F10="Nem áll rendelkezésre"),0,1)</f>
        <v>1</v>
      </c>
    </row>
    <row r="11" spans="1:17" ht="57.75" customHeight="1" x14ac:dyDescent="0.3">
      <c r="A11" s="196"/>
      <c r="B11" s="124" t="s">
        <v>98</v>
      </c>
      <c r="C11" s="125" t="s">
        <v>95</v>
      </c>
      <c r="D11" s="126" t="b">
        <v>1</v>
      </c>
      <c r="E11" s="127" t="b">
        <v>0</v>
      </c>
      <c r="F11" s="128"/>
      <c r="G11" s="185"/>
      <c r="H11" s="186"/>
      <c r="I11" s="129"/>
      <c r="J11" s="123"/>
      <c r="K11" s="116"/>
      <c r="L11" s="116"/>
      <c r="N11" s="89">
        <f t="shared" ref="N11:N32" si="0">(IF(C11="Kötelező",1,0))+(LEN(F11))</f>
        <v>1</v>
      </c>
      <c r="Q11" s="89">
        <f>IF(AND(C11="Kötelező",F11="Nem áll rendelkezésre"),0,1)</f>
        <v>1</v>
      </c>
    </row>
    <row r="12" spans="1:17" ht="57.75" hidden="1" customHeight="1" x14ac:dyDescent="0.3">
      <c r="A12" s="130" t="s">
        <v>111</v>
      </c>
      <c r="B12" s="92" t="s">
        <v>136</v>
      </c>
      <c r="C12" s="131" t="e">
        <f>IF(#REF!="egyszerű bejelentéses","Igen","Nem")</f>
        <v>#REF!</v>
      </c>
      <c r="D12" s="126" t="b">
        <v>1</v>
      </c>
      <c r="E12" s="127" t="b">
        <v>1</v>
      </c>
      <c r="F12" s="128"/>
      <c r="G12" s="185"/>
      <c r="H12" s="186"/>
      <c r="I12" s="129"/>
      <c r="J12" s="123"/>
      <c r="K12" s="116"/>
      <c r="L12" s="116"/>
      <c r="N12" s="89" t="e">
        <f t="shared" si="0"/>
        <v>#REF!</v>
      </c>
      <c r="Q12" s="89" t="e">
        <f t="shared" ref="Q12:Q32" si="1">IF(AND(C12="Kötelező",F12="Nem áll rendelkezésre"),0,1)</f>
        <v>#REF!</v>
      </c>
    </row>
    <row r="13" spans="1:17" ht="57.75" customHeight="1" x14ac:dyDescent="0.3">
      <c r="A13" s="187" t="s">
        <v>99</v>
      </c>
      <c r="B13" s="92" t="s">
        <v>137</v>
      </c>
      <c r="C13" s="131" t="str">
        <f>IF($L$4="egyszerű bejelentés1","Kötelező","Nem kell")</f>
        <v>Nem kell</v>
      </c>
      <c r="D13" s="126" t="b">
        <v>0</v>
      </c>
      <c r="E13" s="127" t="b">
        <v>0</v>
      </c>
      <c r="F13" s="128"/>
      <c r="G13" s="185"/>
      <c r="H13" s="186"/>
      <c r="I13" s="129"/>
      <c r="J13" s="123"/>
      <c r="K13" s="116">
        <v>1</v>
      </c>
      <c r="L13" s="116"/>
      <c r="N13" s="89">
        <f t="shared" si="0"/>
        <v>0</v>
      </c>
      <c r="Q13" s="89">
        <f t="shared" si="1"/>
        <v>1</v>
      </c>
    </row>
    <row r="14" spans="1:17" ht="57.75" customHeight="1" x14ac:dyDescent="0.3">
      <c r="A14" s="189"/>
      <c r="B14" s="92" t="s">
        <v>138</v>
      </c>
      <c r="C14" s="131" t="str">
        <f>IF(LEFT($L$4,8)="egyszerű","Kötelező","Nem kell")</f>
        <v>Nem kell</v>
      </c>
      <c r="D14" s="126" t="b">
        <v>0</v>
      </c>
      <c r="E14" s="127" t="b">
        <v>1</v>
      </c>
      <c r="F14" s="128"/>
      <c r="G14" s="185"/>
      <c r="H14" s="186"/>
      <c r="I14" s="129"/>
      <c r="J14" s="123"/>
      <c r="K14" s="116">
        <v>1</v>
      </c>
      <c r="L14" s="116">
        <v>1</v>
      </c>
      <c r="N14" s="89">
        <f t="shared" si="0"/>
        <v>0</v>
      </c>
      <c r="Q14" s="89">
        <f t="shared" si="1"/>
        <v>1</v>
      </c>
    </row>
    <row r="15" spans="1:17" ht="57.75" customHeight="1" x14ac:dyDescent="0.3">
      <c r="A15" s="189"/>
      <c r="B15" s="92" t="s">
        <v>139</v>
      </c>
      <c r="C15" s="131" t="str">
        <f>IF($L$4="egyszerű bejelentés1","Kötelező","Nem kell")</f>
        <v>Nem kell</v>
      </c>
      <c r="D15" s="126" t="b">
        <v>0</v>
      </c>
      <c r="E15" s="127" t="b">
        <v>0</v>
      </c>
      <c r="F15" s="128"/>
      <c r="G15" s="185"/>
      <c r="H15" s="186"/>
      <c r="I15" s="129"/>
      <c r="J15" s="123"/>
      <c r="K15" s="116">
        <v>1</v>
      </c>
      <c r="L15" s="116"/>
      <c r="N15" s="89">
        <f t="shared" si="0"/>
        <v>0</v>
      </c>
      <c r="Q15" s="89">
        <f t="shared" si="1"/>
        <v>1</v>
      </c>
    </row>
    <row r="16" spans="1:17" ht="57.75" customHeight="1" x14ac:dyDescent="0.3">
      <c r="A16" s="189"/>
      <c r="B16" s="132" t="s">
        <v>140</v>
      </c>
      <c r="C16" s="131" t="str">
        <f>IF($L$4="egyszerű bejelentés1","Kötelező","Nem kell")</f>
        <v>Nem kell</v>
      </c>
      <c r="D16" s="126" t="b">
        <v>0</v>
      </c>
      <c r="E16" s="127" t="b">
        <v>1</v>
      </c>
      <c r="F16" s="128"/>
      <c r="G16" s="185"/>
      <c r="H16" s="186"/>
      <c r="I16" s="129"/>
      <c r="J16" s="123"/>
      <c r="K16" s="116">
        <v>1</v>
      </c>
      <c r="L16" s="116"/>
      <c r="N16" s="89">
        <f t="shared" si="0"/>
        <v>0</v>
      </c>
      <c r="Q16" s="89">
        <f t="shared" si="1"/>
        <v>1</v>
      </c>
    </row>
    <row r="17" spans="1:17" ht="57.75" customHeight="1" x14ac:dyDescent="0.3">
      <c r="A17" s="189"/>
      <c r="B17" s="132" t="s">
        <v>141</v>
      </c>
      <c r="C17" s="131" t="str">
        <f t="shared" ref="C17:C19" si="2">IF(LEFT($L$4,8)="egyszerű","Kötelező","Nem kell")</f>
        <v>Nem kell</v>
      </c>
      <c r="D17" s="126" t="b">
        <v>0</v>
      </c>
      <c r="E17" s="127" t="b">
        <v>0</v>
      </c>
      <c r="F17" s="128"/>
      <c r="G17" s="185"/>
      <c r="H17" s="186"/>
      <c r="I17" s="129"/>
      <c r="J17" s="123"/>
      <c r="K17" s="116">
        <v>1</v>
      </c>
      <c r="L17" s="116">
        <v>1</v>
      </c>
      <c r="N17" s="89">
        <f t="shared" si="0"/>
        <v>0</v>
      </c>
      <c r="Q17" s="89">
        <f t="shared" si="1"/>
        <v>1</v>
      </c>
    </row>
    <row r="18" spans="1:17" ht="57.75" customHeight="1" x14ac:dyDescent="0.3">
      <c r="A18" s="189"/>
      <c r="B18" s="132" t="s">
        <v>142</v>
      </c>
      <c r="C18" s="131" t="str">
        <f t="shared" si="2"/>
        <v>Nem kell</v>
      </c>
      <c r="D18" s="126" t="b">
        <v>0</v>
      </c>
      <c r="E18" s="127" t="b">
        <v>1</v>
      </c>
      <c r="F18" s="128"/>
      <c r="G18" s="185"/>
      <c r="H18" s="186"/>
      <c r="I18" s="129"/>
      <c r="J18" s="123"/>
      <c r="K18" s="116">
        <v>1</v>
      </c>
      <c r="L18" s="116">
        <v>1</v>
      </c>
      <c r="N18" s="89">
        <f t="shared" si="0"/>
        <v>0</v>
      </c>
      <c r="Q18" s="89">
        <f t="shared" si="1"/>
        <v>1</v>
      </c>
    </row>
    <row r="19" spans="1:17" ht="57.75" customHeight="1" x14ac:dyDescent="0.3">
      <c r="A19" s="189"/>
      <c r="B19" s="132" t="s">
        <v>143</v>
      </c>
      <c r="C19" s="131" t="str">
        <f t="shared" si="2"/>
        <v>Nem kell</v>
      </c>
      <c r="D19" s="126" t="b">
        <v>0</v>
      </c>
      <c r="E19" s="127" t="b">
        <v>1</v>
      </c>
      <c r="F19" s="128"/>
      <c r="G19" s="185"/>
      <c r="H19" s="186"/>
      <c r="I19" s="129"/>
      <c r="J19" s="123"/>
      <c r="K19" s="116">
        <v>1</v>
      </c>
      <c r="L19" s="116">
        <v>1</v>
      </c>
      <c r="N19" s="89">
        <f t="shared" si="0"/>
        <v>0</v>
      </c>
      <c r="Q19" s="89">
        <f t="shared" si="1"/>
        <v>1</v>
      </c>
    </row>
    <row r="20" spans="1:17" ht="57.75" customHeight="1" x14ac:dyDescent="0.3">
      <c r="A20" s="189"/>
      <c r="B20" s="132" t="str">
        <f>IF(L5=1,"műszaki leírás","építészeti műszaki leírás (építészeti, gépészeti, villamossági, tartószerkezeti)")</f>
        <v>műszaki leírás</v>
      </c>
      <c r="C20" s="131" t="str">
        <f>IF(LEFT($L$4,8)="egyszerű","Kötelező","Nem kell")</f>
        <v>Nem kell</v>
      </c>
      <c r="D20" s="126" t="b">
        <v>0</v>
      </c>
      <c r="E20" s="127" t="b">
        <v>1</v>
      </c>
      <c r="F20" s="128"/>
      <c r="G20" s="185"/>
      <c r="H20" s="186"/>
      <c r="I20" s="129"/>
      <c r="J20" s="123"/>
      <c r="K20" s="116">
        <v>1</v>
      </c>
      <c r="L20" s="133" t="s">
        <v>144</v>
      </c>
      <c r="N20" s="89">
        <f t="shared" si="0"/>
        <v>0</v>
      </c>
      <c r="Q20" s="89">
        <f t="shared" si="1"/>
        <v>1</v>
      </c>
    </row>
    <row r="21" spans="1:17" ht="57.75" customHeight="1" x14ac:dyDescent="0.3">
      <c r="A21" s="189"/>
      <c r="B21" s="132" t="s">
        <v>145</v>
      </c>
      <c r="C21" s="131" t="str">
        <f>IF($L$4="egyszerű bejelentés1","Kötelező","Nem kell")</f>
        <v>Nem kell</v>
      </c>
      <c r="D21" s="126" t="b">
        <v>0</v>
      </c>
      <c r="E21" s="127" t="b">
        <v>1</v>
      </c>
      <c r="F21" s="128"/>
      <c r="G21" s="185"/>
      <c r="H21" s="186"/>
      <c r="I21" s="129"/>
      <c r="J21" s="123"/>
      <c r="K21" s="116">
        <v>1</v>
      </c>
      <c r="L21" s="116"/>
      <c r="N21" s="89">
        <f t="shared" si="0"/>
        <v>0</v>
      </c>
      <c r="Q21" s="89">
        <f t="shared" si="1"/>
        <v>1</v>
      </c>
    </row>
    <row r="22" spans="1:17" ht="57.75" customHeight="1" x14ac:dyDescent="0.3">
      <c r="A22" s="189"/>
      <c r="B22" s="132" t="s">
        <v>146</v>
      </c>
      <c r="C22" s="131" t="str">
        <f t="shared" ref="C22" si="3">IF(LEFT($L$4,8)="egyszerű","Kötelező","Nem kell")</f>
        <v>Nem kell</v>
      </c>
      <c r="D22" s="126" t="b">
        <v>0</v>
      </c>
      <c r="E22" s="127" t="b">
        <v>0</v>
      </c>
      <c r="F22" s="128"/>
      <c r="G22" s="185"/>
      <c r="H22" s="186"/>
      <c r="I22" s="129"/>
      <c r="J22" s="123"/>
      <c r="K22" s="116">
        <v>1</v>
      </c>
      <c r="L22" s="116">
        <v>1</v>
      </c>
      <c r="N22" s="89">
        <f t="shared" si="0"/>
        <v>0</v>
      </c>
      <c r="Q22" s="89">
        <f t="shared" si="1"/>
        <v>1</v>
      </c>
    </row>
    <row r="23" spans="1:17" ht="57.75" customHeight="1" x14ac:dyDescent="0.3">
      <c r="A23" s="188"/>
      <c r="B23" s="132" t="s">
        <v>147</v>
      </c>
      <c r="C23" s="131" t="str">
        <f t="shared" ref="C23" si="4">IF($L$4="egyszerű bejelentés1","Kötelező","Nem kell")</f>
        <v>Nem kell</v>
      </c>
      <c r="D23" s="126" t="b">
        <v>0</v>
      </c>
      <c r="E23" s="127" t="b">
        <v>1</v>
      </c>
      <c r="F23" s="128"/>
      <c r="G23" s="185"/>
      <c r="H23" s="186"/>
      <c r="I23" s="129"/>
      <c r="J23" s="123"/>
      <c r="K23" s="116">
        <v>1</v>
      </c>
      <c r="L23" s="116"/>
      <c r="N23" s="89">
        <f t="shared" si="0"/>
        <v>0</v>
      </c>
      <c r="Q23" s="89">
        <f t="shared" si="1"/>
        <v>1</v>
      </c>
    </row>
    <row r="24" spans="1:17" ht="57.75" customHeight="1" x14ac:dyDescent="0.3">
      <c r="A24" s="187" t="s">
        <v>148</v>
      </c>
      <c r="B24" s="134" t="s">
        <v>149</v>
      </c>
      <c r="C24" s="131" t="str">
        <f>IF(H4="engedélyköteles","Kötelező","Nem kell")</f>
        <v>Nem kell</v>
      </c>
      <c r="D24" s="126" t="b">
        <v>0</v>
      </c>
      <c r="E24" s="127" t="b">
        <v>1</v>
      </c>
      <c r="F24" s="128"/>
      <c r="G24" s="185"/>
      <c r="H24" s="186"/>
      <c r="I24" s="129"/>
      <c r="J24" s="123">
        <v>1</v>
      </c>
      <c r="K24" s="116"/>
      <c r="L24" s="116">
        <v>1</v>
      </c>
      <c r="N24" s="89">
        <f t="shared" si="0"/>
        <v>0</v>
      </c>
      <c r="Q24" s="89">
        <f t="shared" si="1"/>
        <v>1</v>
      </c>
    </row>
    <row r="25" spans="1:17" ht="57.75" customHeight="1" x14ac:dyDescent="0.3">
      <c r="A25" s="188"/>
      <c r="B25" s="132" t="s">
        <v>150</v>
      </c>
      <c r="C25" s="131" t="str">
        <f>IF($L$4="egyszerű bejelentés2","Kötelező","Nem kell")</f>
        <v>Nem kell</v>
      </c>
      <c r="D25" s="126" t="b">
        <v>0</v>
      </c>
      <c r="E25" s="127" t="b">
        <v>0</v>
      </c>
      <c r="F25" s="128"/>
      <c r="G25" s="185"/>
      <c r="H25" s="186"/>
      <c r="I25" s="129"/>
      <c r="J25" s="123"/>
      <c r="K25" s="116"/>
      <c r="L25" s="116">
        <v>1</v>
      </c>
      <c r="N25" s="89">
        <f t="shared" si="0"/>
        <v>0</v>
      </c>
      <c r="Q25" s="89">
        <f t="shared" si="1"/>
        <v>1</v>
      </c>
    </row>
    <row r="26" spans="1:17" ht="57.75" customHeight="1" x14ac:dyDescent="0.3">
      <c r="A26" s="187" t="s">
        <v>151</v>
      </c>
      <c r="B26" s="132" t="s">
        <v>152</v>
      </c>
      <c r="C26" s="131" t="str">
        <f>IF((OR(($L$6="NEM (nyitott, de nem vezeti az E-napló)2"),($H$4="nem engedélyköteles"))),"Opcionális","Kötelező")</f>
        <v>Kötelező</v>
      </c>
      <c r="D26" s="126" t="b">
        <v>0</v>
      </c>
      <c r="E26" s="127" t="b">
        <v>1</v>
      </c>
      <c r="F26" s="128"/>
      <c r="G26" s="185"/>
      <c r="H26" s="186"/>
      <c r="I26" s="129"/>
      <c r="J26" s="123">
        <v>1</v>
      </c>
      <c r="K26" s="116">
        <v>1</v>
      </c>
      <c r="L26" s="116">
        <v>1</v>
      </c>
      <c r="N26" s="89">
        <f t="shared" si="0"/>
        <v>1</v>
      </c>
      <c r="Q26" s="89">
        <f t="shared" si="1"/>
        <v>1</v>
      </c>
    </row>
    <row r="27" spans="1:17" ht="57.75" customHeight="1" x14ac:dyDescent="0.3">
      <c r="A27" s="189"/>
      <c r="B27" s="132" t="s">
        <v>153</v>
      </c>
      <c r="C27" s="131" t="str">
        <f>IF((OR(($L$6="NEM (nyitott, de nem vezeti az E-naplót)2"),($H$4="nem engedélyköteles"))),"Opcionális","Kötelező")</f>
        <v>Kötelező</v>
      </c>
      <c r="D27" s="126" t="b">
        <v>0</v>
      </c>
      <c r="E27" s="127" t="b">
        <v>1</v>
      </c>
      <c r="F27" s="128"/>
      <c r="G27" s="185"/>
      <c r="H27" s="186"/>
      <c r="I27" s="129"/>
      <c r="J27" s="123">
        <v>1</v>
      </c>
      <c r="K27" s="116">
        <v>1</v>
      </c>
      <c r="L27" s="116">
        <v>1</v>
      </c>
      <c r="N27" s="89">
        <f t="shared" si="0"/>
        <v>1</v>
      </c>
      <c r="Q27" s="89">
        <f t="shared" si="1"/>
        <v>1</v>
      </c>
    </row>
    <row r="28" spans="1:17" ht="57.75" customHeight="1" x14ac:dyDescent="0.3">
      <c r="A28" s="188"/>
      <c r="B28" s="132" t="s">
        <v>154</v>
      </c>
      <c r="C28" s="131" t="str">
        <f>IF((OR(($L$6="NEM (nyitott, de nem vezeti az E-naplót)2"),($H$4="nem engedélyköteles"))),"Opcionális","Kötelező")</f>
        <v>Kötelező</v>
      </c>
      <c r="D28" s="126" t="b">
        <v>0</v>
      </c>
      <c r="E28" s="127" t="b">
        <v>1</v>
      </c>
      <c r="F28" s="128"/>
      <c r="G28" s="185"/>
      <c r="H28" s="186"/>
      <c r="I28" s="129"/>
      <c r="J28" s="123">
        <v>1</v>
      </c>
      <c r="K28" s="116">
        <v>1</v>
      </c>
      <c r="L28" s="116">
        <v>1</v>
      </c>
      <c r="N28" s="89">
        <f t="shared" si="0"/>
        <v>1</v>
      </c>
      <c r="Q28" s="89">
        <f t="shared" si="1"/>
        <v>1</v>
      </c>
    </row>
    <row r="29" spans="1:17" ht="57.75" customHeight="1" x14ac:dyDescent="0.3">
      <c r="A29" s="190" t="s">
        <v>100</v>
      </c>
      <c r="B29" s="132" t="s">
        <v>101</v>
      </c>
      <c r="C29" s="131" t="str">
        <f>IF($H$4="engedélyköteles","Kötelező","Nem kell")</f>
        <v>Nem kell</v>
      </c>
      <c r="D29" s="126" t="b">
        <v>0</v>
      </c>
      <c r="E29" s="127" t="b">
        <v>1</v>
      </c>
      <c r="F29" s="128"/>
      <c r="G29" s="185"/>
      <c r="H29" s="186"/>
      <c r="I29" s="129"/>
      <c r="J29" s="123">
        <v>1</v>
      </c>
      <c r="K29" s="116"/>
      <c r="L29" s="116"/>
      <c r="N29" s="89">
        <f t="shared" si="0"/>
        <v>0</v>
      </c>
      <c r="Q29" s="89">
        <f t="shared" si="1"/>
        <v>1</v>
      </c>
    </row>
    <row r="30" spans="1:17" ht="57.75" customHeight="1" x14ac:dyDescent="0.3">
      <c r="A30" s="190"/>
      <c r="B30" s="132" t="s">
        <v>155</v>
      </c>
      <c r="C30" s="131" t="str">
        <f>IF($H$4="engedélyköteles","Kötelező","Nem kell")</f>
        <v>Nem kell</v>
      </c>
      <c r="D30" s="126" t="b">
        <v>0</v>
      </c>
      <c r="E30" s="127" t="b">
        <v>1</v>
      </c>
      <c r="F30" s="128"/>
      <c r="G30" s="185"/>
      <c r="H30" s="186"/>
      <c r="I30" s="129"/>
      <c r="J30" s="123">
        <v>1</v>
      </c>
      <c r="K30" s="116"/>
      <c r="L30" s="116"/>
      <c r="N30" s="89">
        <f t="shared" si="0"/>
        <v>0</v>
      </c>
      <c r="Q30" s="89">
        <f t="shared" si="1"/>
        <v>1</v>
      </c>
    </row>
    <row r="31" spans="1:17" ht="57.75" customHeight="1" x14ac:dyDescent="0.3">
      <c r="A31" s="190"/>
      <c r="B31" s="132" t="s">
        <v>102</v>
      </c>
      <c r="C31" s="131" t="str">
        <f>IF((LEFT(C6,2))="kö","Kötelező","Nem kell")</f>
        <v>Nem kell</v>
      </c>
      <c r="D31" s="126" t="b">
        <v>0</v>
      </c>
      <c r="E31" s="127" t="b">
        <v>1</v>
      </c>
      <c r="F31" s="128"/>
      <c r="G31" s="185"/>
      <c r="H31" s="186"/>
      <c r="I31" s="129"/>
      <c r="J31" s="123"/>
      <c r="K31" s="116"/>
      <c r="L31" s="116"/>
      <c r="N31" s="89">
        <f t="shared" si="0"/>
        <v>0</v>
      </c>
      <c r="Q31" s="89">
        <f t="shared" si="1"/>
        <v>1</v>
      </c>
    </row>
    <row r="32" spans="1:17" ht="57.75" customHeight="1" thickBot="1" x14ac:dyDescent="0.35">
      <c r="A32" s="190"/>
      <c r="B32" s="135" t="str">
        <f>IF(C32="Kötelező","Dokumentum mely alapján a munkavégzés jellege és mennyisége kiderül (ügyfél által készített műszaki leírás)","Egyéb dokumentum(ok), itt kérjük megnevezni (átírható)")</f>
        <v>Egyéb dokumentum(ok), itt kérjük megnevezni (átírható)</v>
      </c>
      <c r="C32" s="136" t="str">
        <f>IF(H4="nem engedélyköteles","Kötelező","Opcionális")</f>
        <v>Opcionális</v>
      </c>
      <c r="D32" s="137" t="b">
        <v>0</v>
      </c>
      <c r="E32" s="138" t="b">
        <v>0</v>
      </c>
      <c r="F32" s="139"/>
      <c r="G32" s="191"/>
      <c r="H32" s="192"/>
      <c r="I32" s="129"/>
      <c r="J32" s="123"/>
      <c r="K32" s="116"/>
      <c r="L32" s="116"/>
      <c r="N32" s="89">
        <f t="shared" si="0"/>
        <v>0</v>
      </c>
      <c r="Q32" s="89">
        <f t="shared" si="1"/>
        <v>1</v>
      </c>
    </row>
    <row r="33" spans="1:18" ht="63" customHeight="1" thickTop="1" thickBot="1" x14ac:dyDescent="0.3">
      <c r="A33" s="140" t="s">
        <v>156</v>
      </c>
      <c r="B33" s="141" t="s">
        <v>157</v>
      </c>
      <c r="C33" s="142"/>
      <c r="D33" s="143"/>
      <c r="E33" s="143"/>
      <c r="F33" s="182" t="str">
        <f>N3&amp;" "&amp;O4&amp;" "&amp;O33&amp;" "&amp;P33&amp;" "&amp;R33</f>
        <v xml:space="preserve">Kitöltetlen alapadat (c3,c4,c6,h4,h6) , Minden engedélyköteles munkálat esetén ki kell tölteni a C5 és a H5 ös cellát , F oszlop kitöltése hiányos a kötelező soroknál  , C33 mezőbe a dátum kitöltése kötelező </v>
      </c>
      <c r="G33" s="183"/>
      <c r="H33" s="184"/>
      <c r="I33" s="114"/>
      <c r="N33" s="89">
        <f>COUNTIF(N10:N32,1)</f>
        <v>5</v>
      </c>
      <c r="O33" s="89" t="str">
        <f>IF(N33=0,"",", F oszlop kitöltése hiányos a kötelező soroknál ")</f>
        <v xml:space="preserve">, F oszlop kitöltése hiányos a kötelező soroknál </v>
      </c>
      <c r="P33" s="89" t="str">
        <f>IF(C33="",", C33 mezőbe a dátum kitöltése kötelező","")</f>
        <v>, C33 mezőbe a dátum kitöltése kötelező</v>
      </c>
      <c r="Q33" s="89">
        <f>Q32*Q31*Q30*Q29*Q28*Q27*Q26*Q25*Q24*Q23*Q22*Q21*Q20*Q19*Q18*Q17*Q16*Q15*Q14*Q13*Q11*Q10</f>
        <v>1</v>
      </c>
      <c r="R33" s="89" t="str">
        <f>IF(Q33=0,", Minden kötelező dokumnetumot csatolni kell az EBR-be, ha nem áll rendelkezésre, akkor nem rendelhető szakértés","")</f>
        <v/>
      </c>
    </row>
    <row r="34" spans="1:18" x14ac:dyDescent="0.25">
      <c r="A34" s="114"/>
      <c r="B34" s="114"/>
      <c r="C34" s="114"/>
      <c r="D34" s="114"/>
      <c r="E34" s="114"/>
      <c r="F34" s="114"/>
      <c r="G34" s="114"/>
      <c r="H34" s="114"/>
      <c r="I34" s="114"/>
    </row>
  </sheetData>
  <sheetProtection algorithmName="SHA-512" hashValue="SHApDgf7m/WHdDXEh1O7olg6c1ZDxhrhn3GxAudfXlimnfliFn3EjX5WcKWaiYwxDu8Y/EvwZDdDXMMpWGG72Q==" saltValue="A/KMRAV91aySOKQj33WKFA==" spinCount="100000" sheet="1" objects="1" scenarios="1"/>
  <mergeCells count="39">
    <mergeCell ref="A1:H1"/>
    <mergeCell ref="B2:H2"/>
    <mergeCell ref="A3:A7"/>
    <mergeCell ref="C3:H3"/>
    <mergeCell ref="F4:G4"/>
    <mergeCell ref="F5:G5"/>
    <mergeCell ref="D6:E6"/>
    <mergeCell ref="F6:G6"/>
    <mergeCell ref="F7:G7"/>
    <mergeCell ref="G22:H22"/>
    <mergeCell ref="G9:H9"/>
    <mergeCell ref="A10:A11"/>
    <mergeCell ref="G10:H10"/>
    <mergeCell ref="G11:H11"/>
    <mergeCell ref="G12:H12"/>
    <mergeCell ref="A13:A2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F33:H33"/>
    <mergeCell ref="G23:H23"/>
    <mergeCell ref="A24:A25"/>
    <mergeCell ref="G24:H24"/>
    <mergeCell ref="G25:H25"/>
    <mergeCell ref="A26:A28"/>
    <mergeCell ref="G26:H26"/>
    <mergeCell ref="G27:H27"/>
    <mergeCell ref="G28:H28"/>
    <mergeCell ref="A29:A32"/>
    <mergeCell ref="G29:H29"/>
    <mergeCell ref="G30:H30"/>
    <mergeCell ref="G31:H31"/>
    <mergeCell ref="G32:H32"/>
  </mergeCells>
  <conditionalFormatting sqref="C10:C32">
    <cfRule type="expression" dxfId="12" priority="13" stopIfTrue="1">
      <formula>C10="Igen"</formula>
    </cfRule>
  </conditionalFormatting>
  <conditionalFormatting sqref="B13:C13">
    <cfRule type="expression" dxfId="11" priority="11">
      <formula>$C13="Kötelező"</formula>
    </cfRule>
    <cfRule type="containsText" dxfId="10" priority="12" operator="containsText" text="Kötelező">
      <formula>NOT(ISERROR(SEARCH("Kötelező",B13)))</formula>
    </cfRule>
  </conditionalFormatting>
  <conditionalFormatting sqref="B14:C32 B33">
    <cfRule type="expression" dxfId="9" priority="10">
      <formula>$C14="Kötelező"</formula>
    </cfRule>
  </conditionalFormatting>
  <conditionalFormatting sqref="B26:C32 B33">
    <cfRule type="expression" dxfId="8" priority="9">
      <formula>$C26="Opcionális"</formula>
    </cfRule>
  </conditionalFormatting>
  <conditionalFormatting sqref="C10:H32">
    <cfRule type="expression" dxfId="7" priority="8">
      <formula>$C10="Kötelező"</formula>
    </cfRule>
  </conditionalFormatting>
  <conditionalFormatting sqref="F10:F32">
    <cfRule type="containsText" dxfId="6" priority="6" operator="containsText" text="EBR">
      <formula>NOT(ISERROR(SEARCH("EBR",F10)))</formula>
    </cfRule>
    <cfRule type="containsText" dxfId="5" priority="7" operator="containsText" text="nem">
      <formula>NOT(ISERROR(SEARCH("nem",F10)))</formula>
    </cfRule>
  </conditionalFormatting>
  <conditionalFormatting sqref="B5 F5:G5">
    <cfRule type="expression" dxfId="4" priority="5">
      <formula>$H$4="nem engedélyköteles"</formula>
    </cfRule>
  </conditionalFormatting>
  <conditionalFormatting sqref="C5 H5">
    <cfRule type="expression" dxfId="3" priority="4">
      <formula>$H$4="nem engedélyköteles"</formula>
    </cfRule>
  </conditionalFormatting>
  <conditionalFormatting sqref="B7">
    <cfRule type="containsText" dxfId="2" priority="3" operator="containsText" text="Kötelező">
      <formula>NOT(ISERROR(SEARCH("Kötelező",B7)))</formula>
    </cfRule>
  </conditionalFormatting>
  <conditionalFormatting sqref="B2:H2">
    <cfRule type="containsText" dxfId="1" priority="1" operator="containsText" text="megfelelően">
      <formula>NOT(ISERROR(SEARCH("megfelelően",B2)))</formula>
    </cfRule>
    <cfRule type="containsText" dxfId="0" priority="2" operator="containsText" text="F33">
      <formula>NOT(ISERROR(SEARCH("F33",B2)))</formula>
    </cfRule>
  </conditionalFormatting>
  <dataValidations count="8">
    <dataValidation type="date" allowBlank="1" showInputMessage="1" showErrorMessage="1" errorTitle="mai dátum írandó bele" sqref="C33" xr:uid="{00000000-0002-0000-0300-000000000000}">
      <formula1>TODAY()-2</formula1>
      <formula2>TODAY()</formula2>
    </dataValidation>
    <dataValidation type="list" allowBlank="1" showInputMessage="1" showErrorMessage="1" sqref="F10:F32" xr:uid="{00000000-0002-0000-0300-000001000000}">
      <formula1>"EBR-be becsatolt,Nem áll rendelkezésre"</formula1>
    </dataValidation>
    <dataValidation type="list" allowBlank="1" showInputMessage="1" showErrorMessage="1" sqref="H7" xr:uid="{00000000-0002-0000-0300-000002000000}">
      <mc:AlternateContent xmlns:x12ac="http://schemas.microsoft.com/office/spreadsheetml/2011/1/ac" xmlns:mc="http://schemas.openxmlformats.org/markup-compatibility/2006">
        <mc:Choice Requires="x12ac">
          <x12ac:list>IGEN (nyitott és vezeti az E-naplót),"NEM (nyitott, de nem vezeti az E-naplót)"</x12ac:list>
        </mc:Choice>
        <mc:Fallback>
          <formula1>"IGEN (nyitott és vezeti az E-naplót),NEM (nyitott, de nem vezeti az E-naplót)"</formula1>
        </mc:Fallback>
      </mc:AlternateContent>
    </dataValidation>
    <dataValidation type="list" allowBlank="1" showInputMessage="1" showErrorMessage="1" sqref="C6" xr:uid="{00000000-0002-0000-0300-000003000000}">
      <formula1>"hagyományos (nem könnyűszerkezet),könnyűszerkezet / gyorsház (fa/fém/egyéb)"</formula1>
    </dataValidation>
    <dataValidation type="list" allowBlank="1" showInputMessage="1" showErrorMessage="1" sqref="H4" xr:uid="{00000000-0002-0000-0300-000004000000}">
      <formula1>"engedélyköteles,egyszerű bejelentés,nem engedélyköteles"</formula1>
    </dataValidation>
    <dataValidation type="list" allowBlank="1" showInputMessage="1" showErrorMessage="1" sqref="D6" xr:uid="{00000000-0002-0000-0300-000005000000}">
      <formula1>"könnyűszerkezetes - fa,könnyűszerkezetes - fém,nem könnyűszerkezetes"</formula1>
    </dataValidation>
    <dataValidation type="list" allowBlank="1" showInputMessage="1" showErrorMessage="1" sqref="H6" xr:uid="{00000000-0002-0000-0300-000006000000}">
      <mc:AlternateContent xmlns:x12ac="http://schemas.microsoft.com/office/spreadsheetml/2011/1/ac" xmlns:mc="http://schemas.openxmlformats.org/markup-compatibility/2006">
        <mc:Choice Requires="x12ac">
          <x12ac:list>egylakásos ingatlan - egy lakóegység egy telken (ÖNÁLLÓ)," egylakásos ingatlan - ikerház, vagy sorház ÖNÁLLÓ épületszerkezettel","többlakásos ingatlan egyik egysége - ikerház, vagy sorház KÖZÖS épületszerkezettel"</x12ac:list>
        </mc:Choice>
        <mc:Fallback>
          <formula1>"egylakásos ingatlan - egy lakóegység egy telken (ÖNÁLLÓ), egylakásos ingatlan - ikerház, vagy sorház ÖNÁLLÓ épületszerkezettel,többlakásos ingatlan egyik egysége - ikerház, vagy sorház KÖZÖS épületszerkezettel"</formula1>
        </mc:Fallback>
      </mc:AlternateContent>
    </dataValidation>
    <dataValidation type="list" allowBlank="1" showInputMessage="1" showErrorMessage="1" sqref="D10:E32" xr:uid="{00000000-0002-0000-0300-000007000000}">
      <formula1>"Igen,Nem"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7" orientation="portrait" r:id="rId1"/>
  <headerFooter>
    <oddFooter>&amp;LErste Bank Hungary Zrt. / Erste Jelzálogbank Zrt.&amp;CMelléklet: &amp;P. oldal&amp;R&amp;F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4.4" x14ac:dyDescent="0.3"/>
  <cols>
    <col min="1" max="1" width="152.88671875" customWidth="1"/>
  </cols>
  <sheetData>
    <row r="1" spans="1:1" ht="374.4" x14ac:dyDescent="0.3">
      <c r="A1" s="83" t="s">
        <v>124</v>
      </c>
    </row>
    <row r="2" spans="1:1" ht="135" customHeight="1" x14ac:dyDescent="0.3">
      <c r="A2" s="83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Import</vt:lpstr>
      <vt:lpstr>Építés-bővítés</vt:lpstr>
      <vt:lpstr>Költségvetés részarányok</vt:lpstr>
      <vt:lpstr>Dokumentum ellenőrzés</vt:lpstr>
      <vt:lpstr>Kitöltési segédlet</vt:lpstr>
      <vt:lpstr>'Dokumentum ellenőrzés'!Nyomtatási_terület</vt:lpstr>
      <vt:lpstr>'Építés-bővítés'!Nyomtatási_terület</vt:lpstr>
    </vt:vector>
  </TitlesOfParts>
  <Company>Erste Bank Hungary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Imre EB_HU</dc:creator>
  <cp:lastModifiedBy>Dosa Melinda EB_HU</cp:lastModifiedBy>
  <cp:lastPrinted>2020-02-10T12:04:35Z</cp:lastPrinted>
  <dcterms:created xsi:type="dcterms:W3CDTF">2018-08-15T06:45:53Z</dcterms:created>
  <dcterms:modified xsi:type="dcterms:W3CDTF">2022-06-17T11:35:34Z</dcterms:modified>
</cp:coreProperties>
</file>